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V:\03_FINANCE-CONSOLIDATION-REPORTING\RAPORTY_FINANSOWE\sprawozdania gieldowe\kwartalne\2019\Konsolidacja_30.09.2019\"/>
    </mc:Choice>
  </mc:AlternateContent>
  <bookViews>
    <workbookView xWindow="375" yWindow="240" windowWidth="15555" windowHeight="12285" tabRatio="852"/>
  </bookViews>
  <sheets>
    <sheet name="Spis treści" sheetId="1" r:id="rId1"/>
    <sheet name="RZiS i spr. z całkowitych doch." sheetId="11" r:id="rId2"/>
    <sheet name="Spr. z sytuacji finansowej" sheetId="21" r:id="rId3"/>
    <sheet name="Zmiany w kapitale" sheetId="25" r:id="rId4"/>
    <sheet name="Przepływy pieniężne" sheetId="24" r:id="rId5"/>
    <sheet name="Segmenty operacyjne" sheetId="28" r:id="rId6"/>
    <sheet name="Segmenty geograficzne" sheetId="37" r:id="rId7"/>
    <sheet name="Podział przychodów" sheetId="38" r:id="rId8"/>
    <sheet name="RZiS_analityczny" sheetId="36" r:id="rId9"/>
    <sheet name="Wskaźniki operacyjne" sheetId="34" r:id="rId10"/>
    <sheet name="Baza hotelowa" sheetId="33" r:id="rId11"/>
    <sheet name="Klienci" sheetId="35" r:id="rId12"/>
    <sheet name="Zatrudnienie" sheetId="29" r:id="rId13"/>
    <sheet name="Struktura Grupy" sheetId="30" r:id="rId14"/>
    <sheet name="Akcjonariat" sheetId="32" r:id="rId15"/>
  </sheets>
  <definedNames>
    <definedName name="_Toc293035359" localSheetId="14">Akcjonariat!$B$3</definedName>
    <definedName name="_Toc293035359" localSheetId="10">'Baza hotelowa'!$B$3</definedName>
    <definedName name="_Toc293035359" localSheetId="11">Klienci!$B$3</definedName>
    <definedName name="_Toc293035359" localSheetId="4">'Przepływy pieniężne'!$B$3</definedName>
    <definedName name="_Toc293035359" localSheetId="8">RZiS_analityczny!$B$3</definedName>
    <definedName name="_Toc293035359" localSheetId="5">'Segmenty operacyjne'!$B$3</definedName>
    <definedName name="_Toc293035359" localSheetId="13">'Struktura Grupy'!$B$3</definedName>
    <definedName name="_Toc293035359" localSheetId="9">'Wskaźniki operacyjne'!$B$3</definedName>
    <definedName name="_Toc293035359" localSheetId="12">Zatrudnienie!$B$3</definedName>
    <definedName name="_xlnm.Print_Area" localSheetId="4">'Przepływy pieniężne'!$A$1:$J$52</definedName>
    <definedName name="_xlnm.Print_Area" localSheetId="1">'RZiS i spr. z całkowitych doch.'!$B$3:$J$36</definedName>
    <definedName name="_xlnm.Print_Area" localSheetId="8">RZiS_analityczny!$B$3:$B$15</definedName>
    <definedName name="_xlnm.Print_Area" localSheetId="2">'Spr. z sytuacji finansowej'!$A$1:$F$70</definedName>
    <definedName name="_xlnm.Print_Area" localSheetId="9">'Wskaźniki operacyjne'!$B$3:$B$76</definedName>
    <definedName name="Skonsolidowany_rachunek_zysków_i_strat_w_ujęciu_analitycznym">'Segmenty geograficzne'!$B$3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28" l="1"/>
  <c r="I6" i="28"/>
  <c r="H6" i="28"/>
  <c r="D12" i="33"/>
  <c r="D7" i="33"/>
  <c r="AA13" i="37" l="1"/>
  <c r="J39" i="28" l="1"/>
  <c r="I39" i="28"/>
  <c r="H39" i="28"/>
  <c r="J37" i="28"/>
  <c r="I37" i="28"/>
  <c r="H37" i="28"/>
  <c r="J33" i="28"/>
  <c r="I33" i="28"/>
  <c r="H33" i="28"/>
  <c r="J31" i="28"/>
  <c r="I31" i="28"/>
  <c r="H31" i="28"/>
  <c r="I19" i="28"/>
  <c r="H19" i="28"/>
  <c r="I17" i="28"/>
  <c r="H17" i="28"/>
  <c r="I13" i="28"/>
  <c r="H13" i="28"/>
  <c r="J11" i="28"/>
  <c r="J13" i="28" s="1"/>
  <c r="J17" i="28" s="1"/>
  <c r="J19" i="28" s="1"/>
  <c r="I11" i="28"/>
  <c r="H11" i="28"/>
  <c r="N11" i="37" l="1"/>
  <c r="N10" i="37"/>
  <c r="N9" i="37"/>
  <c r="N8" i="37"/>
  <c r="M8" i="37"/>
  <c r="L8" i="37"/>
  <c r="K8" i="37"/>
  <c r="J8" i="37"/>
  <c r="N7" i="37"/>
  <c r="N6" i="37"/>
  <c r="G12" i="37"/>
  <c r="G6" i="37"/>
  <c r="N12" i="37" l="1"/>
  <c r="M11" i="37"/>
  <c r="K11" i="37"/>
  <c r="L11" i="37"/>
  <c r="K7" i="37" l="1"/>
  <c r="K6" i="37" s="1"/>
  <c r="D6" i="37"/>
  <c r="M9" i="37"/>
  <c r="L9" i="37"/>
  <c r="E6" i="37" l="1"/>
  <c r="L7" i="37"/>
  <c r="L6" i="37" s="1"/>
  <c r="K9" i="37"/>
  <c r="F12" i="37" l="1"/>
  <c r="M10" i="37"/>
  <c r="M12" i="37" s="1"/>
  <c r="M7" i="37"/>
  <c r="M6" i="37" s="1"/>
  <c r="F6" i="37"/>
  <c r="E12" i="37"/>
  <c r="L10" i="37"/>
  <c r="L12" i="37" s="1"/>
  <c r="D12" i="37" l="1"/>
  <c r="K10" i="37"/>
  <c r="K12" i="37" s="1"/>
  <c r="J11" i="37" l="1"/>
  <c r="J9" i="37" l="1"/>
  <c r="J10" i="37" l="1"/>
  <c r="J12" i="37" s="1"/>
  <c r="J7" i="37" l="1"/>
  <c r="J6" i="37" s="1"/>
  <c r="O71" i="34" l="1"/>
  <c r="O70" i="34"/>
  <c r="O69" i="34"/>
  <c r="L71" i="34"/>
  <c r="L70" i="34"/>
  <c r="L69" i="34"/>
  <c r="O61" i="34"/>
  <c r="H71" i="34"/>
  <c r="H70" i="34"/>
  <c r="H69" i="34"/>
  <c r="E69" i="34"/>
  <c r="E65" i="34" l="1"/>
  <c r="E49" i="34"/>
  <c r="L35" i="34"/>
  <c r="O15" i="34"/>
  <c r="O7" i="34"/>
  <c r="H31" i="34"/>
  <c r="E31" i="34"/>
  <c r="O75" i="34" l="1"/>
  <c r="L75" i="34"/>
  <c r="O74" i="34"/>
  <c r="L74" i="34"/>
  <c r="L73" i="34"/>
  <c r="O67" i="34"/>
  <c r="L67" i="34"/>
  <c r="O66" i="34"/>
  <c r="L66" i="34"/>
  <c r="O65" i="34"/>
  <c r="L65" i="34"/>
  <c r="O63" i="34"/>
  <c r="L63" i="34"/>
  <c r="O62" i="34"/>
  <c r="L62" i="34"/>
  <c r="L61" i="34"/>
  <c r="O55" i="34"/>
  <c r="L55" i="34"/>
  <c r="O54" i="34"/>
  <c r="L54" i="34"/>
  <c r="O53" i="34"/>
  <c r="L53" i="34"/>
  <c r="O51" i="34"/>
  <c r="L51" i="34"/>
  <c r="O50" i="34"/>
  <c r="L50" i="34"/>
  <c r="O49" i="34"/>
  <c r="L49" i="34"/>
  <c r="O47" i="34"/>
  <c r="L47" i="34"/>
  <c r="O46" i="34"/>
  <c r="L46" i="34"/>
  <c r="O45" i="34"/>
  <c r="O37" i="34"/>
  <c r="L37" i="34"/>
  <c r="O36" i="34"/>
  <c r="L36" i="34"/>
  <c r="O35" i="34"/>
  <c r="O33" i="34"/>
  <c r="L33" i="34"/>
  <c r="O32" i="34"/>
  <c r="L32" i="34"/>
  <c r="O31" i="34"/>
  <c r="O29" i="34"/>
  <c r="L29" i="34"/>
  <c r="O28" i="34"/>
  <c r="L28" i="34"/>
  <c r="O27" i="34"/>
  <c r="L27" i="34"/>
  <c r="O25" i="34"/>
  <c r="L25" i="34"/>
  <c r="O24" i="34"/>
  <c r="L24" i="34"/>
  <c r="O23" i="34"/>
  <c r="L23" i="34"/>
  <c r="O17" i="34"/>
  <c r="L17" i="34"/>
  <c r="O16" i="34"/>
  <c r="L16" i="34"/>
  <c r="O13" i="34"/>
  <c r="L13" i="34"/>
  <c r="O12" i="34"/>
  <c r="L12" i="34"/>
  <c r="O11" i="34"/>
  <c r="L11" i="34"/>
  <c r="O9" i="34"/>
  <c r="L9" i="34"/>
  <c r="O8" i="34"/>
  <c r="L8" i="34"/>
  <c r="L7" i="34"/>
  <c r="C36" i="11" l="1"/>
  <c r="E36" i="11"/>
  <c r="F36" i="11"/>
  <c r="J36" i="11"/>
  <c r="I36" i="11"/>
  <c r="H36" i="11"/>
  <c r="G36" i="11"/>
  <c r="K30" i="38" l="1"/>
  <c r="K29" i="38"/>
  <c r="K28" i="38"/>
  <c r="K27" i="38"/>
  <c r="J26" i="38"/>
  <c r="I26" i="38"/>
  <c r="H26" i="38"/>
  <c r="K25" i="38"/>
  <c r="K24" i="38"/>
  <c r="K23" i="38"/>
  <c r="K22" i="38"/>
  <c r="J21" i="38"/>
  <c r="I21" i="38"/>
  <c r="H21" i="38"/>
  <c r="K15" i="38"/>
  <c r="K14" i="38"/>
  <c r="K13" i="38"/>
  <c r="K12" i="38"/>
  <c r="J11" i="38"/>
  <c r="I11" i="38"/>
  <c r="H11" i="38"/>
  <c r="K8" i="38"/>
  <c r="K7" i="38"/>
  <c r="I6" i="38"/>
  <c r="H6" i="38"/>
  <c r="T13" i="37"/>
  <c r="S13" i="37"/>
  <c r="R13" i="37"/>
  <c r="Q13" i="37"/>
  <c r="AB23" i="37"/>
  <c r="AA23" i="37"/>
  <c r="Z23" i="37"/>
  <c r="Y23" i="37"/>
  <c r="X23" i="37"/>
  <c r="AB12" i="37"/>
  <c r="AA12" i="37"/>
  <c r="Z12" i="37"/>
  <c r="Y12" i="37"/>
  <c r="X12" i="37"/>
  <c r="AB6" i="37"/>
  <c r="U6" i="37"/>
  <c r="K11" i="38" l="1"/>
  <c r="K26" i="38"/>
  <c r="K21" i="38"/>
  <c r="AB17" i="37" l="1"/>
  <c r="AA17" i="37"/>
  <c r="Z17" i="37"/>
  <c r="Y17" i="37"/>
  <c r="X17" i="37"/>
  <c r="AA6" i="37"/>
  <c r="Z6" i="37"/>
  <c r="Y6" i="37"/>
  <c r="X6" i="37"/>
  <c r="O24" i="37"/>
  <c r="N23" i="37"/>
  <c r="M23" i="37"/>
  <c r="L23" i="37"/>
  <c r="K23" i="37"/>
  <c r="J23" i="37"/>
  <c r="O22" i="37"/>
  <c r="O21" i="37"/>
  <c r="O20" i="37"/>
  <c r="O19" i="37"/>
  <c r="O18" i="37"/>
  <c r="N17" i="37"/>
  <c r="M17" i="37"/>
  <c r="L17" i="37"/>
  <c r="K17" i="37"/>
  <c r="J17" i="37"/>
  <c r="O12" i="37"/>
  <c r="O11" i="37"/>
  <c r="O10" i="37"/>
  <c r="O9" i="37"/>
  <c r="O8" i="37"/>
  <c r="O7" i="37"/>
  <c r="O23" i="37" l="1"/>
  <c r="O17" i="37"/>
  <c r="O6" i="37"/>
  <c r="T33" i="28" l="1"/>
  <c r="T37" i="28" s="1"/>
  <c r="T39" i="28" s="1"/>
  <c r="S33" i="28"/>
  <c r="S37" i="28" s="1"/>
  <c r="S39" i="28" s="1"/>
  <c r="T31" i="28"/>
  <c r="S31" i="28"/>
  <c r="R31" i="28"/>
  <c r="R33" i="28" s="1"/>
  <c r="R37" i="28" s="1"/>
  <c r="R39" i="28" s="1"/>
  <c r="T11" i="28"/>
  <c r="T13" i="28" s="1"/>
  <c r="T17" i="28" s="1"/>
  <c r="T19" i="28" s="1"/>
  <c r="S11" i="28"/>
  <c r="S13" i="28" s="1"/>
  <c r="S17" i="28" s="1"/>
  <c r="S19" i="28" s="1"/>
  <c r="R11" i="28"/>
  <c r="R13" i="28" s="1"/>
  <c r="R17" i="28" s="1"/>
  <c r="R19" i="28" s="1"/>
  <c r="E26" i="28" l="1"/>
  <c r="D26" i="28"/>
  <c r="C26" i="28"/>
  <c r="K41" i="28" l="1"/>
  <c r="K38" i="28"/>
  <c r="J34" i="28"/>
  <c r="I34" i="28"/>
  <c r="K34" i="28" s="1"/>
  <c r="H34" i="28"/>
  <c r="J14" i="28"/>
  <c r="I14" i="28"/>
  <c r="H14" i="28"/>
  <c r="K32" i="28" l="1"/>
  <c r="K36" i="28"/>
  <c r="K14" i="28"/>
  <c r="G35" i="24" l="1"/>
  <c r="J4" i="24"/>
  <c r="I4" i="24"/>
  <c r="H4" i="24"/>
  <c r="G4" i="24"/>
  <c r="F4" i="24"/>
  <c r="E4" i="24"/>
  <c r="D4" i="24"/>
  <c r="C4" i="24"/>
  <c r="F36" i="25"/>
  <c r="D36" i="25"/>
  <c r="C36" i="25"/>
  <c r="H35" i="25"/>
  <c r="D49" i="21"/>
  <c r="D39" i="21"/>
  <c r="D33" i="21"/>
  <c r="D32" i="21" s="1"/>
  <c r="D64" i="21" s="1"/>
  <c r="D31" i="21"/>
  <c r="D18" i="21"/>
  <c r="D28" i="21" s="1"/>
  <c r="D65" i="21" s="1"/>
  <c r="D6" i="21"/>
  <c r="H41" i="11"/>
  <c r="D41" i="11"/>
  <c r="H57" i="11" l="1"/>
  <c r="H51" i="11"/>
  <c r="D57" i="11"/>
  <c r="D51" i="11"/>
  <c r="D36" i="11"/>
  <c r="H13" i="11" l="1"/>
  <c r="H15" i="11" s="1"/>
  <c r="H17" i="11" s="1"/>
  <c r="H22" i="11" s="1"/>
  <c r="H27" i="11" s="1"/>
  <c r="H29" i="11" s="1"/>
  <c r="U23" i="37"/>
  <c r="U17" i="37"/>
  <c r="T17" i="37"/>
  <c r="S17" i="37"/>
  <c r="R17" i="37"/>
  <c r="Q17" i="37"/>
  <c r="T6" i="37"/>
  <c r="S6" i="37"/>
  <c r="R6" i="37"/>
  <c r="U38" i="28"/>
  <c r="U36" i="28"/>
  <c r="U34" i="28"/>
  <c r="U32" i="28"/>
  <c r="O39" i="28"/>
  <c r="N39" i="28"/>
  <c r="M39" i="28"/>
  <c r="P38" i="28"/>
  <c r="N37" i="28"/>
  <c r="M37" i="28"/>
  <c r="F38" i="28"/>
  <c r="H31" i="11" l="1"/>
  <c r="H42" i="11" s="1"/>
  <c r="H52" i="11" s="1"/>
  <c r="U26" i="28"/>
  <c r="K26" i="28"/>
  <c r="U35" i="28"/>
  <c r="K35" i="28"/>
  <c r="U30" i="28"/>
  <c r="K30" i="28"/>
  <c r="U29" i="28"/>
  <c r="K29" i="28"/>
  <c r="U28" i="28"/>
  <c r="K28" i="28"/>
  <c r="U27" i="28"/>
  <c r="K27" i="28"/>
  <c r="Q10" i="36"/>
  <c r="Q7" i="36"/>
  <c r="U29" i="38"/>
  <c r="U28" i="38"/>
  <c r="S26" i="38"/>
  <c r="R26" i="38"/>
  <c r="S21" i="38"/>
  <c r="U23" i="38"/>
  <c r="R21" i="38"/>
  <c r="U15" i="38"/>
  <c r="T11" i="38"/>
  <c r="U14" i="38"/>
  <c r="U12" i="38"/>
  <c r="U11" i="38" s="1"/>
  <c r="T6" i="38"/>
  <c r="S6" i="38"/>
  <c r="U10" i="38"/>
  <c r="U7" i="38"/>
  <c r="U30" i="38"/>
  <c r="U27" i="38"/>
  <c r="U26" i="38" s="1"/>
  <c r="T26" i="38"/>
  <c r="U25" i="38"/>
  <c r="T21" i="38"/>
  <c r="U13" i="38"/>
  <c r="R11" i="38"/>
  <c r="U8" i="38"/>
  <c r="R6" i="38"/>
  <c r="P30" i="38"/>
  <c r="P29" i="38"/>
  <c r="P28" i="38"/>
  <c r="P27" i="38"/>
  <c r="O26" i="38"/>
  <c r="N26" i="38"/>
  <c r="M26" i="38"/>
  <c r="P25" i="38"/>
  <c r="P24" i="38"/>
  <c r="P23" i="38"/>
  <c r="P22" i="38"/>
  <c r="O21" i="38"/>
  <c r="N21" i="38"/>
  <c r="M21" i="38"/>
  <c r="P15" i="38"/>
  <c r="P14" i="38"/>
  <c r="P13" i="38"/>
  <c r="P12" i="38"/>
  <c r="O11" i="38"/>
  <c r="N11" i="38"/>
  <c r="M11" i="38"/>
  <c r="P10" i="38"/>
  <c r="P9" i="38"/>
  <c r="P6" i="38" s="1"/>
  <c r="P8" i="38"/>
  <c r="P7" i="38"/>
  <c r="O6" i="38"/>
  <c r="N6" i="38"/>
  <c r="M6" i="38"/>
  <c r="U22" i="38"/>
  <c r="S11" i="38"/>
  <c r="P26" i="38"/>
  <c r="P21" i="38"/>
  <c r="P11" i="38"/>
  <c r="G51" i="11"/>
  <c r="C51" i="11"/>
  <c r="I51" i="11"/>
  <c r="U18" i="28"/>
  <c r="V65" i="34"/>
  <c r="S65" i="34"/>
  <c r="V31" i="34"/>
  <c r="S23" i="34"/>
  <c r="V11" i="34"/>
  <c r="H65" i="34"/>
  <c r="H61" i="34"/>
  <c r="E61" i="34"/>
  <c r="H49" i="34"/>
  <c r="E35" i="34"/>
  <c r="H15" i="34"/>
  <c r="AC75" i="34"/>
  <c r="Z75" i="34"/>
  <c r="AC74" i="34"/>
  <c r="Z74" i="34"/>
  <c r="AC73" i="34"/>
  <c r="Z73" i="34"/>
  <c r="Z71" i="34"/>
  <c r="Z70" i="34"/>
  <c r="Z69" i="34"/>
  <c r="AC67" i="34"/>
  <c r="Z67" i="34"/>
  <c r="AC66" i="34"/>
  <c r="Z66" i="34"/>
  <c r="AC65" i="34"/>
  <c r="Z65" i="34"/>
  <c r="AC63" i="34"/>
  <c r="Z63" i="34"/>
  <c r="AC62" i="34"/>
  <c r="Z62" i="34"/>
  <c r="AC61" i="34"/>
  <c r="Z61" i="34"/>
  <c r="AC55" i="34"/>
  <c r="Z55" i="34"/>
  <c r="AC54" i="34"/>
  <c r="Z54" i="34"/>
  <c r="AC53" i="34"/>
  <c r="Z53" i="34"/>
  <c r="AC51" i="34"/>
  <c r="Z51" i="34"/>
  <c r="AC50" i="34"/>
  <c r="Z50" i="34"/>
  <c r="AC49" i="34"/>
  <c r="Z49" i="34"/>
  <c r="AC47" i="34"/>
  <c r="Z47" i="34"/>
  <c r="AC46" i="34"/>
  <c r="Z46" i="34"/>
  <c r="AC45" i="34"/>
  <c r="Z45" i="34"/>
  <c r="AC37" i="34"/>
  <c r="Z37" i="34"/>
  <c r="AC36" i="34"/>
  <c r="Z36" i="34"/>
  <c r="AC35" i="34"/>
  <c r="Z35" i="34"/>
  <c r="AC33" i="34"/>
  <c r="Z33" i="34"/>
  <c r="AC32" i="34"/>
  <c r="Z32" i="34"/>
  <c r="AC31" i="34"/>
  <c r="Z31" i="34"/>
  <c r="AC29" i="34"/>
  <c r="Z29" i="34"/>
  <c r="AC28" i="34"/>
  <c r="Z28" i="34"/>
  <c r="AC27" i="34"/>
  <c r="Z27" i="34"/>
  <c r="AC25" i="34"/>
  <c r="Z25" i="34"/>
  <c r="AC24" i="34"/>
  <c r="Z24" i="34"/>
  <c r="AC23" i="34"/>
  <c r="Z23" i="34"/>
  <c r="AC17" i="34"/>
  <c r="Z17" i="34"/>
  <c r="AC16" i="34"/>
  <c r="Z16" i="34"/>
  <c r="AC15" i="34"/>
  <c r="Z15" i="34"/>
  <c r="AC13" i="34"/>
  <c r="Z13" i="34"/>
  <c r="AC12" i="34"/>
  <c r="Z12" i="34"/>
  <c r="AC11" i="34"/>
  <c r="Z11" i="34"/>
  <c r="AC9" i="34"/>
  <c r="Z9" i="34"/>
  <c r="AC8" i="34"/>
  <c r="Z8" i="34"/>
  <c r="AC7" i="34"/>
  <c r="Z7" i="34"/>
  <c r="V75" i="34"/>
  <c r="S75" i="34"/>
  <c r="V74" i="34"/>
  <c r="S74" i="34"/>
  <c r="V73" i="34"/>
  <c r="S73" i="34"/>
  <c r="V67" i="34"/>
  <c r="S67" i="34"/>
  <c r="V66" i="34"/>
  <c r="S66" i="34"/>
  <c r="V63" i="34"/>
  <c r="S63" i="34"/>
  <c r="V62" i="34"/>
  <c r="S62" i="34"/>
  <c r="V61" i="34"/>
  <c r="S61" i="34"/>
  <c r="V55" i="34"/>
  <c r="S55" i="34"/>
  <c r="V54" i="34"/>
  <c r="S54" i="34"/>
  <c r="V53" i="34"/>
  <c r="S53" i="34"/>
  <c r="V51" i="34"/>
  <c r="S51" i="34"/>
  <c r="V50" i="34"/>
  <c r="S50" i="34"/>
  <c r="V49" i="34"/>
  <c r="S49" i="34"/>
  <c r="V47" i="34"/>
  <c r="S47" i="34"/>
  <c r="V46" i="34"/>
  <c r="S46" i="34"/>
  <c r="V45" i="34"/>
  <c r="S45" i="34"/>
  <c r="V37" i="34"/>
  <c r="S37" i="34"/>
  <c r="V36" i="34"/>
  <c r="S36" i="34"/>
  <c r="V35" i="34"/>
  <c r="S35" i="34"/>
  <c r="V33" i="34"/>
  <c r="S33" i="34"/>
  <c r="V32" i="34"/>
  <c r="S32" i="34"/>
  <c r="S31" i="34"/>
  <c r="V29" i="34"/>
  <c r="S29" i="34"/>
  <c r="V28" i="34"/>
  <c r="S28" i="34"/>
  <c r="V27" i="34"/>
  <c r="S27" i="34"/>
  <c r="V25" i="34"/>
  <c r="S25" i="34"/>
  <c r="V24" i="34"/>
  <c r="S24" i="34"/>
  <c r="V23" i="34"/>
  <c r="V17" i="34"/>
  <c r="S17" i="34"/>
  <c r="V16" i="34"/>
  <c r="S16" i="34"/>
  <c r="V15" i="34"/>
  <c r="S15" i="34"/>
  <c r="V13" i="34"/>
  <c r="S13" i="34"/>
  <c r="V12" i="34"/>
  <c r="S12" i="34"/>
  <c r="S11" i="34"/>
  <c r="V9" i="34"/>
  <c r="S9" i="34"/>
  <c r="V8" i="34"/>
  <c r="S8" i="34"/>
  <c r="V7" i="34"/>
  <c r="S7" i="34"/>
  <c r="E39" i="24"/>
  <c r="E38" i="24"/>
  <c r="G9" i="24"/>
  <c r="G22" i="24" s="1"/>
  <c r="G24" i="24" s="1"/>
  <c r="F46" i="24"/>
  <c r="F35" i="24"/>
  <c r="F9" i="24"/>
  <c r="G46" i="24"/>
  <c r="F23" i="25"/>
  <c r="D23" i="25"/>
  <c r="C23" i="25"/>
  <c r="H22" i="25"/>
  <c r="I41" i="11"/>
  <c r="G41" i="11"/>
  <c r="C41" i="11"/>
  <c r="E41" i="11"/>
  <c r="V22" i="37"/>
  <c r="R23" i="37"/>
  <c r="U13" i="37"/>
  <c r="O13" i="37" s="1"/>
  <c r="AC24" i="37"/>
  <c r="AC22" i="37"/>
  <c r="AC21" i="37"/>
  <c r="AC23" i="37" s="1"/>
  <c r="AC20" i="37"/>
  <c r="AC19" i="37"/>
  <c r="AC18" i="37"/>
  <c r="S23" i="37"/>
  <c r="T23" i="37"/>
  <c r="V19" i="37"/>
  <c r="P36" i="28"/>
  <c r="P35" i="28"/>
  <c r="P32" i="28"/>
  <c r="O31" i="28"/>
  <c r="P28" i="28"/>
  <c r="P26" i="28"/>
  <c r="U41" i="28"/>
  <c r="U21" i="28"/>
  <c r="U16" i="28"/>
  <c r="U15" i="28"/>
  <c r="U14" i="28"/>
  <c r="U12" i="28"/>
  <c r="U10" i="28"/>
  <c r="U9" i="28"/>
  <c r="U8" i="28"/>
  <c r="U7" i="28"/>
  <c r="P41" i="28"/>
  <c r="P34" i="28"/>
  <c r="P14" i="28"/>
  <c r="N31" i="28"/>
  <c r="N33" i="28" s="1"/>
  <c r="P29" i="28"/>
  <c r="P27" i="28"/>
  <c r="M31" i="28"/>
  <c r="E12" i="33"/>
  <c r="E7" i="33"/>
  <c r="M33" i="28"/>
  <c r="G14" i="25"/>
  <c r="F14" i="25"/>
  <c r="C14" i="25"/>
  <c r="D14" i="25"/>
  <c r="E14" i="25"/>
  <c r="G16" i="25"/>
  <c r="F16" i="25"/>
  <c r="E16" i="25"/>
  <c r="D16" i="25"/>
  <c r="C16" i="25"/>
  <c r="E27" i="34"/>
  <c r="J46" i="24"/>
  <c r="F12" i="33"/>
  <c r="F7" i="33"/>
  <c r="H73" i="34"/>
  <c r="E73" i="34"/>
  <c r="H53" i="34"/>
  <c r="H45" i="34"/>
  <c r="E45" i="34"/>
  <c r="H23" i="34"/>
  <c r="H27" i="34"/>
  <c r="H35" i="34"/>
  <c r="E26" i="38"/>
  <c r="D26" i="38"/>
  <c r="C26" i="38"/>
  <c r="E21" i="38"/>
  <c r="D21" i="38"/>
  <c r="C21" i="38"/>
  <c r="G23" i="37"/>
  <c r="F23" i="37"/>
  <c r="E23" i="37"/>
  <c r="D23" i="37"/>
  <c r="C23" i="37"/>
  <c r="G17" i="37"/>
  <c r="AC17" i="37" s="1"/>
  <c r="F17" i="37"/>
  <c r="E17" i="37"/>
  <c r="D17" i="37"/>
  <c r="C17" i="37"/>
  <c r="E31" i="28"/>
  <c r="D31" i="28"/>
  <c r="C31" i="28"/>
  <c r="F26" i="28"/>
  <c r="J35" i="24"/>
  <c r="G9" i="25"/>
  <c r="F9" i="25"/>
  <c r="E9" i="25"/>
  <c r="D9" i="25"/>
  <c r="C9" i="25"/>
  <c r="H8" i="25"/>
  <c r="F6" i="21"/>
  <c r="E6" i="21"/>
  <c r="E49" i="21"/>
  <c r="E64" i="21" s="1"/>
  <c r="E39" i="21"/>
  <c r="E33" i="21"/>
  <c r="E32" i="21"/>
  <c r="C31" i="21"/>
  <c r="E31" i="21"/>
  <c r="E18" i="21"/>
  <c r="E28" i="21" s="1"/>
  <c r="E65" i="21" s="1"/>
  <c r="J57" i="11"/>
  <c r="J51" i="11"/>
  <c r="G15" i="33"/>
  <c r="G14" i="33"/>
  <c r="G13" i="33"/>
  <c r="G10" i="33"/>
  <c r="G9" i="33"/>
  <c r="G8" i="33"/>
  <c r="C30" i="25"/>
  <c r="G21" i="25"/>
  <c r="G23" i="25" s="1"/>
  <c r="F21" i="25"/>
  <c r="E21" i="25"/>
  <c r="E23" i="25" s="1"/>
  <c r="D21" i="25"/>
  <c r="C21" i="25"/>
  <c r="H20" i="25"/>
  <c r="H19" i="25"/>
  <c r="H17" i="25"/>
  <c r="C12" i="33"/>
  <c r="C7" i="33"/>
  <c r="H75" i="34"/>
  <c r="E75" i="34"/>
  <c r="H74" i="34"/>
  <c r="E74" i="34"/>
  <c r="E71" i="34"/>
  <c r="E70" i="34"/>
  <c r="H67" i="34"/>
  <c r="E67" i="34"/>
  <c r="H66" i="34"/>
  <c r="E66" i="34"/>
  <c r="H63" i="34"/>
  <c r="E63" i="34"/>
  <c r="H62" i="34"/>
  <c r="E62" i="34"/>
  <c r="H55" i="34"/>
  <c r="E55" i="34"/>
  <c r="H54" i="34"/>
  <c r="E54" i="34"/>
  <c r="E53" i="34"/>
  <c r="H51" i="34"/>
  <c r="E51" i="34"/>
  <c r="H50" i="34"/>
  <c r="E50" i="34"/>
  <c r="H47" i="34"/>
  <c r="E47" i="34"/>
  <c r="H46" i="34"/>
  <c r="E46" i="34"/>
  <c r="H37" i="34"/>
  <c r="E37" i="34"/>
  <c r="H36" i="34"/>
  <c r="E36" i="34"/>
  <c r="H33" i="34"/>
  <c r="E33" i="34"/>
  <c r="H32" i="34"/>
  <c r="E32" i="34"/>
  <c r="H29" i="34"/>
  <c r="E29" i="34"/>
  <c r="H28" i="34"/>
  <c r="E28" i="34"/>
  <c r="H25" i="34"/>
  <c r="E25" i="34"/>
  <c r="H24" i="34"/>
  <c r="E24" i="34"/>
  <c r="H17" i="34"/>
  <c r="E17" i="34"/>
  <c r="H16" i="34"/>
  <c r="E16" i="34"/>
  <c r="H13" i="34"/>
  <c r="E13" i="34"/>
  <c r="H12" i="34"/>
  <c r="E12" i="34"/>
  <c r="H11" i="34"/>
  <c r="E11" i="34"/>
  <c r="H9" i="34"/>
  <c r="E9" i="34"/>
  <c r="H8" i="34"/>
  <c r="E8" i="34"/>
  <c r="H7" i="34"/>
  <c r="E7" i="34"/>
  <c r="F30" i="38"/>
  <c r="F29" i="38"/>
  <c r="F26" i="38" s="1"/>
  <c r="F28" i="38"/>
  <c r="F27" i="38"/>
  <c r="F25" i="38"/>
  <c r="F24" i="38"/>
  <c r="F23" i="38"/>
  <c r="F22" i="38"/>
  <c r="F15" i="38"/>
  <c r="F14" i="38"/>
  <c r="F13" i="38"/>
  <c r="F12" i="38"/>
  <c r="E11" i="38"/>
  <c r="D11" i="38"/>
  <c r="C11" i="38"/>
  <c r="F7" i="38"/>
  <c r="F8" i="38"/>
  <c r="D6" i="38"/>
  <c r="C6" i="38"/>
  <c r="H24" i="37"/>
  <c r="H22" i="37"/>
  <c r="H21" i="37"/>
  <c r="H20" i="37"/>
  <c r="H19" i="37"/>
  <c r="H18" i="37"/>
  <c r="H13" i="37"/>
  <c r="F41" i="28"/>
  <c r="F36" i="28"/>
  <c r="F35" i="28"/>
  <c r="F34" i="28"/>
  <c r="F32" i="28"/>
  <c r="F30" i="28"/>
  <c r="F29" i="28"/>
  <c r="F28" i="28"/>
  <c r="F27" i="28"/>
  <c r="F14" i="28"/>
  <c r="F41" i="11"/>
  <c r="B15" i="1"/>
  <c r="B10" i="1"/>
  <c r="J9" i="24"/>
  <c r="C12" i="25"/>
  <c r="C25" i="25"/>
  <c r="C27" i="25"/>
  <c r="C31" i="25" s="1"/>
  <c r="D12" i="25"/>
  <c r="E12" i="25"/>
  <c r="F12" i="25"/>
  <c r="F18" i="25"/>
  <c r="G12" i="25"/>
  <c r="D10" i="29"/>
  <c r="F18" i="21"/>
  <c r="J41" i="11"/>
  <c r="E7" i="29"/>
  <c r="E8" i="29"/>
  <c r="F49" i="21"/>
  <c r="F39" i="21"/>
  <c r="F33" i="21"/>
  <c r="F32" i="21"/>
  <c r="F31" i="21"/>
  <c r="C10" i="29"/>
  <c r="H13" i="25"/>
  <c r="H11" i="25"/>
  <c r="H10" i="25"/>
  <c r="E6" i="29"/>
  <c r="E9" i="29"/>
  <c r="B12" i="1"/>
  <c r="B14" i="1"/>
  <c r="B18" i="1"/>
  <c r="B17" i="1"/>
  <c r="B16" i="1"/>
  <c r="B9" i="1"/>
  <c r="B7" i="1"/>
  <c r="B8" i="1"/>
  <c r="B6" i="1"/>
  <c r="B5" i="1"/>
  <c r="H7" i="25"/>
  <c r="H26" i="25"/>
  <c r="D30" i="25"/>
  <c r="C18" i="25"/>
  <c r="G25" i="25"/>
  <c r="G27" i="25"/>
  <c r="G18" i="25"/>
  <c r="F25" i="25"/>
  <c r="F27" i="25"/>
  <c r="D25" i="25"/>
  <c r="D18" i="25"/>
  <c r="E18" i="25"/>
  <c r="E25" i="25"/>
  <c r="E27" i="25"/>
  <c r="H14" i="25"/>
  <c r="H12" i="25"/>
  <c r="H9" i="25"/>
  <c r="H16" i="25"/>
  <c r="D27" i="25"/>
  <c r="H18" i="25"/>
  <c r="H25" i="25"/>
  <c r="F51" i="11"/>
  <c r="Q13" i="36"/>
  <c r="F57" i="11"/>
  <c r="C12" i="37"/>
  <c r="S12" i="37"/>
  <c r="C6" i="37"/>
  <c r="R12" i="37"/>
  <c r="Q12" i="37"/>
  <c r="H8" i="37"/>
  <c r="P15" i="28"/>
  <c r="P10" i="28"/>
  <c r="N11" i="28"/>
  <c r="N13" i="28" s="1"/>
  <c r="N17" i="28" s="1"/>
  <c r="N19" i="28" s="1"/>
  <c r="P8" i="28"/>
  <c r="P12" i="28"/>
  <c r="P16" i="28"/>
  <c r="P7" i="28"/>
  <c r="P18" i="28"/>
  <c r="O11" i="28"/>
  <c r="O13" i="28" s="1"/>
  <c r="O17" i="28" s="1"/>
  <c r="O19" i="28" s="1"/>
  <c r="P9" i="28"/>
  <c r="P21" i="28"/>
  <c r="H11" i="37"/>
  <c r="H7" i="37"/>
  <c r="H9" i="37"/>
  <c r="H10" i="37"/>
  <c r="E51" i="11"/>
  <c r="C18" i="21"/>
  <c r="E57" i="11"/>
  <c r="G57" i="11"/>
  <c r="I57" i="11"/>
  <c r="F11" i="38" l="1"/>
  <c r="F21" i="38"/>
  <c r="U9" i="38"/>
  <c r="U6" i="38" s="1"/>
  <c r="V24" i="37"/>
  <c r="H12" i="37"/>
  <c r="D33" i="28"/>
  <c r="D37" i="28"/>
  <c r="F28" i="21"/>
  <c r="U31" i="28"/>
  <c r="C33" i="28"/>
  <c r="F31" i="28"/>
  <c r="U11" i="28"/>
  <c r="H46" i="24"/>
  <c r="I46" i="24"/>
  <c r="I35" i="24"/>
  <c r="H35" i="24"/>
  <c r="I9" i="24"/>
  <c r="H9" i="24"/>
  <c r="H22" i="24" s="1"/>
  <c r="H24" i="24" s="1"/>
  <c r="G47" i="24"/>
  <c r="G50" i="24" s="1"/>
  <c r="H23" i="25"/>
  <c r="H21" i="25"/>
  <c r="H27" i="25"/>
  <c r="D31" i="25"/>
  <c r="D37" i="25" s="1"/>
  <c r="C37" i="25"/>
  <c r="E10" i="29"/>
  <c r="G12" i="33"/>
  <c r="G7" i="33"/>
  <c r="U24" i="38"/>
  <c r="U21" i="38" s="1"/>
  <c r="H23" i="37"/>
  <c r="Q23" i="37"/>
  <c r="V21" i="37"/>
  <c r="V23" i="37" s="1"/>
  <c r="V20" i="37"/>
  <c r="H17" i="37"/>
  <c r="V17" i="37"/>
  <c r="V18" i="37"/>
  <c r="H6" i="37"/>
  <c r="P31" i="28"/>
  <c r="E33" i="28"/>
  <c r="P30" i="28"/>
  <c r="O33" i="28"/>
  <c r="O37" i="28" s="1"/>
  <c r="M11" i="28"/>
  <c r="M13" i="28" s="1"/>
  <c r="F64" i="21"/>
  <c r="C39" i="21"/>
  <c r="E9" i="24"/>
  <c r="M13" i="36"/>
  <c r="I13" i="11"/>
  <c r="I15" i="11" s="1"/>
  <c r="I17" i="11" s="1"/>
  <c r="I22" i="11" s="1"/>
  <c r="I27" i="11" s="1"/>
  <c r="C6" i="21"/>
  <c r="C28" i="21" s="1"/>
  <c r="C49" i="21"/>
  <c r="E13" i="11"/>
  <c r="E15" i="11" s="1"/>
  <c r="E17" i="11" s="1"/>
  <c r="E22" i="11" s="1"/>
  <c r="E27" i="11" s="1"/>
  <c r="G13" i="11"/>
  <c r="C57" i="11"/>
  <c r="E35" i="24"/>
  <c r="F65" i="21" l="1"/>
  <c r="D39" i="28"/>
  <c r="U33" i="28"/>
  <c r="C37" i="28"/>
  <c r="K31" i="28"/>
  <c r="H50" i="24"/>
  <c r="P11" i="28"/>
  <c r="P13" i="28"/>
  <c r="M17" i="28"/>
  <c r="E37" i="28"/>
  <c r="F33" i="28"/>
  <c r="F37" i="28" s="1"/>
  <c r="P39" i="28"/>
  <c r="P33" i="28"/>
  <c r="P37" i="28" s="1"/>
  <c r="F13" i="11"/>
  <c r="E22" i="24"/>
  <c r="E24" i="24" s="1"/>
  <c r="E29" i="11"/>
  <c r="J13" i="11"/>
  <c r="G15" i="11"/>
  <c r="I22" i="24"/>
  <c r="I24" i="24" s="1"/>
  <c r="I47" i="24" s="1"/>
  <c r="I29" i="11"/>
  <c r="E31" i="11" l="1"/>
  <c r="E42" i="11" s="1"/>
  <c r="E52" i="11" s="1"/>
  <c r="I31" i="11"/>
  <c r="I42" i="11" s="1"/>
  <c r="I52" i="11" s="1"/>
  <c r="E39" i="28"/>
  <c r="K33" i="28"/>
  <c r="K37" i="28" s="1"/>
  <c r="U37" i="28"/>
  <c r="C39" i="28"/>
  <c r="U13" i="28"/>
  <c r="P17" i="28"/>
  <c r="M19" i="28"/>
  <c r="P19" i="28" s="1"/>
  <c r="F15" i="11"/>
  <c r="G17" i="11"/>
  <c r="J15" i="11"/>
  <c r="M8" i="36"/>
  <c r="F17" i="11"/>
  <c r="Q6" i="36"/>
  <c r="M6" i="36"/>
  <c r="Q8" i="36"/>
  <c r="U39" i="28" l="1"/>
  <c r="F39" i="28"/>
  <c r="U17" i="28"/>
  <c r="M7" i="36"/>
  <c r="F22" i="11"/>
  <c r="M9" i="36"/>
  <c r="J17" i="11"/>
  <c r="G22" i="11"/>
  <c r="K39" i="28" l="1"/>
  <c r="U19" i="28"/>
  <c r="Q9" i="36"/>
  <c r="G27" i="11"/>
  <c r="F27" i="11"/>
  <c r="J22" i="11"/>
  <c r="M11" i="36"/>
  <c r="Q11" i="36" l="1"/>
  <c r="F29" i="11"/>
  <c r="F31" i="11" s="1"/>
  <c r="F42" i="11" s="1"/>
  <c r="F52" i="11" s="1"/>
  <c r="M10" i="36"/>
  <c r="J27" i="11"/>
  <c r="M12" i="36"/>
  <c r="G29" i="11"/>
  <c r="G31" i="11" l="1"/>
  <c r="G42" i="11" s="1"/>
  <c r="G52" i="11" s="1"/>
  <c r="M14" i="36"/>
  <c r="J29" i="11"/>
  <c r="J31" i="11" s="1"/>
  <c r="J42" i="11" s="1"/>
  <c r="J52" i="11" s="1"/>
  <c r="J22" i="24"/>
  <c r="J24" i="24" s="1"/>
  <c r="J47" i="24" s="1"/>
  <c r="J50" i="24" s="1"/>
  <c r="I49" i="24" s="1"/>
  <c r="I50" i="24" s="1"/>
  <c r="P6" i="28"/>
  <c r="U6" i="28"/>
  <c r="F22" i="24"/>
  <c r="F24" i="24" s="1"/>
  <c r="F47" i="24" s="1"/>
  <c r="F50" i="24" s="1"/>
  <c r="E49" i="24" l="1"/>
  <c r="AC8" i="37" l="1"/>
  <c r="AC13" i="37"/>
  <c r="V13" i="37"/>
  <c r="V8" i="37"/>
  <c r="Q6" i="37"/>
  <c r="F7" i="24" l="1"/>
  <c r="V11" i="37"/>
  <c r="AC11" i="37"/>
  <c r="T12" i="37"/>
  <c r="V7" i="37"/>
  <c r="V6" i="37"/>
  <c r="AC6" i="37"/>
  <c r="AC7" i="37"/>
  <c r="AC9" i="37"/>
  <c r="V10" i="37"/>
  <c r="V9" i="37"/>
  <c r="U12" i="37"/>
  <c r="V12" i="37" s="1"/>
  <c r="AC10" i="37"/>
  <c r="AC12" i="37"/>
  <c r="H33" i="25" l="1"/>
  <c r="F9" i="38" l="1"/>
  <c r="K9" i="38" l="1"/>
  <c r="C6" i="28" l="1"/>
  <c r="D6" i="28" l="1"/>
  <c r="F10" i="38" l="1"/>
  <c r="F6" i="38" s="1"/>
  <c r="E6" i="38"/>
  <c r="K10" i="38" l="1"/>
  <c r="K6" i="38" s="1"/>
  <c r="J6" i="38"/>
  <c r="D11" i="28" l="1"/>
  <c r="D13" i="28" l="1"/>
  <c r="D17" i="28" l="1"/>
  <c r="D19" i="28" l="1"/>
  <c r="K15" i="28" l="1"/>
  <c r="F15" i="28"/>
  <c r="K18" i="28" l="1"/>
  <c r="F18" i="28"/>
  <c r="K21" i="28" l="1"/>
  <c r="F21" i="28"/>
  <c r="K10" i="28" l="1"/>
  <c r="C11" i="28"/>
  <c r="F10" i="28"/>
  <c r="C13" i="28" l="1"/>
  <c r="C17" i="28" l="1"/>
  <c r="C19" i="28" l="1"/>
  <c r="F7" i="28" l="1"/>
  <c r="E6" i="28"/>
  <c r="K7" i="28"/>
  <c r="F6" i="28" l="1"/>
  <c r="K6" i="28"/>
  <c r="D13" i="11" l="1"/>
  <c r="D15" i="11" s="1"/>
  <c r="D17" i="11" s="1"/>
  <c r="D22" i="11" s="1"/>
  <c r="C13" i="11"/>
  <c r="C15" i="11" l="1"/>
  <c r="K12" i="28"/>
  <c r="F12" i="28"/>
  <c r="K16" i="28"/>
  <c r="F16" i="28"/>
  <c r="E6" i="36"/>
  <c r="I6" i="36"/>
  <c r="E13" i="36"/>
  <c r="I13" i="36"/>
  <c r="D27" i="11"/>
  <c r="D29" i="11" s="1"/>
  <c r="C17" i="11" l="1"/>
  <c r="D31" i="11"/>
  <c r="D42" i="11" s="1"/>
  <c r="D52" i="11" s="1"/>
  <c r="I8" i="36"/>
  <c r="E8" i="36"/>
  <c r="I7" i="36"/>
  <c r="E7" i="36"/>
  <c r="C22" i="11" l="1"/>
  <c r="I9" i="36"/>
  <c r="E9" i="36"/>
  <c r="K8" i="28"/>
  <c r="F8" i="28"/>
  <c r="F9" i="28"/>
  <c r="K9" i="28"/>
  <c r="E11" i="28"/>
  <c r="F11" i="28" l="1"/>
  <c r="E13" i="28"/>
  <c r="K11" i="28"/>
  <c r="I10" i="36"/>
  <c r="E10" i="36"/>
  <c r="C27" i="11"/>
  <c r="E11" i="36"/>
  <c r="I11" i="36"/>
  <c r="C29" i="11" l="1"/>
  <c r="E17" i="28"/>
  <c r="K13" i="28"/>
  <c r="F13" i="28"/>
  <c r="E12" i="36"/>
  <c r="I12" i="36"/>
  <c r="E19" i="28" l="1"/>
  <c r="K17" i="28"/>
  <c r="F17" i="28"/>
  <c r="E14" i="36"/>
  <c r="I14" i="36"/>
  <c r="C31" i="11"/>
  <c r="C42" i="11" s="1"/>
  <c r="C52" i="11" s="1"/>
  <c r="K19" i="28" l="1"/>
  <c r="F19" i="28"/>
  <c r="E41" i="24" l="1"/>
  <c r="G30" i="25" l="1"/>
  <c r="G31" i="25" s="1"/>
  <c r="E40" i="24"/>
  <c r="C46" i="24"/>
  <c r="G36" i="25"/>
  <c r="G37" i="25" s="1"/>
  <c r="C9" i="24"/>
  <c r="H29" i="25"/>
  <c r="F30" i="25"/>
  <c r="F31" i="25" s="1"/>
  <c r="F37" i="25" s="1"/>
  <c r="E37" i="24"/>
  <c r="E46" i="24" s="1"/>
  <c r="E47" i="24" s="1"/>
  <c r="E50" i="24" s="1"/>
  <c r="D49" i="24" s="1"/>
  <c r="D35" i="24"/>
  <c r="C35" i="24"/>
  <c r="D9" i="24" l="1"/>
  <c r="D46" i="24"/>
  <c r="H34" i="25" l="1"/>
  <c r="E36" i="25"/>
  <c r="D22" i="24" l="1"/>
  <c r="D24" i="24" s="1"/>
  <c r="D47" i="24" s="1"/>
  <c r="D50" i="24" s="1"/>
  <c r="H36" i="25"/>
  <c r="E37" i="25"/>
  <c r="H37" i="25" s="1"/>
  <c r="C22" i="24" l="1"/>
  <c r="C24" i="24" s="1"/>
  <c r="C47" i="24" s="1"/>
  <c r="C50" i="24" s="1"/>
  <c r="H28" i="25" l="1"/>
  <c r="E30" i="25"/>
  <c r="E31" i="25" l="1"/>
  <c r="H31" i="25" s="1"/>
  <c r="H30" i="25"/>
  <c r="C33" i="21" l="1"/>
  <c r="C32" i="21" s="1"/>
  <c r="C64" i="21" s="1"/>
  <c r="C65" i="21" s="1"/>
</calcChain>
</file>

<file path=xl/sharedStrings.xml><?xml version="1.0" encoding="utf-8"?>
<sst xmlns="http://schemas.openxmlformats.org/spreadsheetml/2006/main" count="740" uniqueCount="278">
  <si>
    <t>Aktywa trwałe</t>
  </si>
  <si>
    <t>Aktywa obrotowe</t>
  </si>
  <si>
    <t>Zapasy</t>
  </si>
  <si>
    <t>Zobowiązania długoterminowe</t>
  </si>
  <si>
    <t>Rezerwa z tytułu odroczonego podatku dochodowego</t>
  </si>
  <si>
    <t>Zobowiązania krótkoterminowe</t>
  </si>
  <si>
    <t>Przychody finansowe</t>
  </si>
  <si>
    <t>Podatek dochodowy</t>
  </si>
  <si>
    <t>Spis treści</t>
  </si>
  <si>
    <t>Aktywa z tytułu odroczonego podatku dochodowego</t>
  </si>
  <si>
    <t>Zysk (strata) netto</t>
  </si>
  <si>
    <t>Rezerwy na zobowiązania</t>
  </si>
  <si>
    <t>Rezerwa na świadczenia emerytalne i podobne</t>
  </si>
  <si>
    <t>Amortyzacja</t>
  </si>
  <si>
    <t>Zużycie materiałów i energii</t>
  </si>
  <si>
    <t>Usługi obce</t>
  </si>
  <si>
    <t>Podatki i opłaty</t>
  </si>
  <si>
    <t>Pozostałe koszty rodzajowe</t>
  </si>
  <si>
    <t>Zmiana stanu rezerw</t>
  </si>
  <si>
    <t>Zmiana stanu zapasów</t>
  </si>
  <si>
    <t>Inne korekty</t>
  </si>
  <si>
    <t>Inne wpływy inwestycyjne</t>
  </si>
  <si>
    <t>Kredyty i pożyczki</t>
  </si>
  <si>
    <t>Środki pieniężne na początek okresu</t>
  </si>
  <si>
    <t>1.</t>
  </si>
  <si>
    <t>2.</t>
  </si>
  <si>
    <t>3.</t>
  </si>
  <si>
    <t>4.</t>
  </si>
  <si>
    <t>5.</t>
  </si>
  <si>
    <t>7.</t>
  </si>
  <si>
    <t>8.</t>
  </si>
  <si>
    <t>Razem</t>
  </si>
  <si>
    <t>Przychody netto ze sprzedaży</t>
  </si>
  <si>
    <t>Koszty świadczeń pracowniczych</t>
  </si>
  <si>
    <t>Pozostałe przychody/(koszty) operacyjne netto</t>
  </si>
  <si>
    <t xml:space="preserve">EBITDAR </t>
  </si>
  <si>
    <t>Koszty wynajmu nieruchomości</t>
  </si>
  <si>
    <t>EBITDA operacyjna</t>
  </si>
  <si>
    <t>Koszty restrukturyzacji</t>
  </si>
  <si>
    <t>Wynik innych zdarzeń jednorazowych</t>
  </si>
  <si>
    <t xml:space="preserve">Koszty finansowe </t>
  </si>
  <si>
    <t>Udział w stratach netto jednostek stowarzyszonych</t>
  </si>
  <si>
    <t>Skonsolidowany rachunek zysków i strat</t>
  </si>
  <si>
    <t>Stan na:</t>
  </si>
  <si>
    <t>Wartości niematerialne, w tym:</t>
  </si>
  <si>
    <t>Inne aktywa finansowe</t>
  </si>
  <si>
    <t>Należności handlowe</t>
  </si>
  <si>
    <t>Należności z tytułu podatku dochodowego</t>
  </si>
  <si>
    <t>Należności krótkoterminowe inne</t>
  </si>
  <si>
    <t>Aktywa finansowe wyceniane w wartości godziwej przez wynik finansowy</t>
  </si>
  <si>
    <t>Środki pieniężne i ich ekwiwalenty</t>
  </si>
  <si>
    <t>AKTYWA RAZEM</t>
  </si>
  <si>
    <t>Skonsolidowane sprawozdanie z sytuacji finansowej</t>
  </si>
  <si>
    <t>Kapitał własny</t>
  </si>
  <si>
    <t>Kapitał własny przypisany akcjonariuszom jednostki dominującej</t>
  </si>
  <si>
    <t>Kapitał zakładowy</t>
  </si>
  <si>
    <t>Pozostałe kapitały</t>
  </si>
  <si>
    <t xml:space="preserve">Zyski zatrzymane </t>
  </si>
  <si>
    <t>Kapitał z przeliczenia jednostek zagranicznych</t>
  </si>
  <si>
    <t>Udziały niekontrolujące</t>
  </si>
  <si>
    <t>Przychody przyszłych okresów</t>
  </si>
  <si>
    <t>Zobowiązania długoterminowe inne</t>
  </si>
  <si>
    <t xml:space="preserve">Kredyty i pożyczki </t>
  </si>
  <si>
    <t>Zobowiązania handlowe</t>
  </si>
  <si>
    <t>Zobowiązania dotyczące środków trwałych</t>
  </si>
  <si>
    <t>Zobowiązania z tytułu podatku dochodowego</t>
  </si>
  <si>
    <t>Zobowiązania krótkoterminowe inne</t>
  </si>
  <si>
    <t>PASYWA RAZEM</t>
  </si>
  <si>
    <t>DZIAŁALNOŚĆ OPERACYJNA</t>
  </si>
  <si>
    <t>Korekty:</t>
  </si>
  <si>
    <t>Zmiana stanu rozliczeń międzyokresowych przychodów</t>
  </si>
  <si>
    <t>Przepływy pieniężne z działalności operacyjnej</t>
  </si>
  <si>
    <t>Podatek dochodowy zapłacony</t>
  </si>
  <si>
    <t>Przepływy pieniężne netto z działalności operacyjnej</t>
  </si>
  <si>
    <t>DZIAŁALNOŚĆ INWESTYCYJNA</t>
  </si>
  <si>
    <t>Przychody z tytułu odsetek</t>
  </si>
  <si>
    <t>Przepływy pieniężne netto z działalności inwestycyjnej</t>
  </si>
  <si>
    <t>DZIAŁALNOŚĆ FINANSOWA</t>
  </si>
  <si>
    <t>Zaciągnięcie kredytów i pożyczek</t>
  </si>
  <si>
    <t>Przepływy pieniężne netto z działalności finansowej</t>
  </si>
  <si>
    <t xml:space="preserve">Zmiana stanu środków pieniężnych i ich ekwiwalentów </t>
  </si>
  <si>
    <t>Środki pieniężne na koniec okresu</t>
  </si>
  <si>
    <t>Skonsolidowane sprawozdanie z przepływów pieniężnych</t>
  </si>
  <si>
    <t>Skonsolidowane sprawozdanie ze zmian w kapitale własnym</t>
  </si>
  <si>
    <t xml:space="preserve">- zysk netto za okres    </t>
  </si>
  <si>
    <t>- inne całkowite dochody/(straty)</t>
  </si>
  <si>
    <t>- dywidendy</t>
  </si>
  <si>
    <t>Całkowite dochody/(straty) za okres</t>
  </si>
  <si>
    <t>Zyski zatrzymane</t>
  </si>
  <si>
    <t>Segmenty operacyjne</t>
  </si>
  <si>
    <t>Hotele Up&amp;Midscale</t>
  </si>
  <si>
    <t>Hotele ekonomiczne</t>
  </si>
  <si>
    <t>Działalność nieprzypisana i korekty konsolidacyjne</t>
  </si>
  <si>
    <t xml:space="preserve">Przychody segmentu, </t>
  </si>
  <si>
    <t>Sprzedaż klientom zewnętrznym</t>
  </si>
  <si>
    <t>EBITDAR</t>
  </si>
  <si>
    <t>Zysk (strata) z działalności operacyjnej bez zdarzeń jednorazowych</t>
  </si>
  <si>
    <t>Wynik zdarzeń jednorazowych</t>
  </si>
  <si>
    <t>Zysk (strata) z działalności operacyjnej (EBIT)</t>
  </si>
  <si>
    <t>Nakłady inwestycyjne</t>
  </si>
  <si>
    <t>Polska</t>
  </si>
  <si>
    <t>Węgry</t>
  </si>
  <si>
    <t>Czechy</t>
  </si>
  <si>
    <t>Pozostałe kraje</t>
  </si>
  <si>
    <t xml:space="preserve">Przeciętne zatrudnienie w Grupie </t>
  </si>
  <si>
    <t>Struktura Grupy</t>
  </si>
  <si>
    <t>Podmiot</t>
  </si>
  <si>
    <t>Liczba akcji i głosów</t>
  </si>
  <si>
    <t>Struktura akcjonariatu Orbis S.A.</t>
  </si>
  <si>
    <t>Liczba hoteli, w tym:</t>
  </si>
  <si>
    <t>Hotele własne i leasingowane</t>
  </si>
  <si>
    <t>Hotele w zarządzaniu</t>
  </si>
  <si>
    <t>Hotele franczyzowane</t>
  </si>
  <si>
    <t>Liczba pokoi, w tym:</t>
  </si>
  <si>
    <t>9.</t>
  </si>
  <si>
    <t>Baza hotelowa Grupy</t>
  </si>
  <si>
    <t>Wskaźniki operacyjne</t>
  </si>
  <si>
    <t>Grupa Hotelowa Orbis</t>
  </si>
  <si>
    <t>Frekwencja w %</t>
  </si>
  <si>
    <t>Średnia cena za pokój (ARR) bez VAT w zł</t>
  </si>
  <si>
    <t>Przychód na 1 dostępny pokój (RevPAR) w zł</t>
  </si>
  <si>
    <t>Hotele Ekonomiczne</t>
  </si>
  <si>
    <t>Hotele Up&amp;Midscale (3 gwiazdki i więcej)</t>
  </si>
  <si>
    <t>Struktura klientów Grupy</t>
  </si>
  <si>
    <t>Biznes</t>
  </si>
  <si>
    <t>Wypoczynek</t>
  </si>
  <si>
    <t>Grupa Orbis</t>
  </si>
  <si>
    <t>Wynik z działalności operacyjnej (EBIT)</t>
  </si>
  <si>
    <t xml:space="preserve">  Wynik na działalności finansowej</t>
  </si>
  <si>
    <t>10.</t>
  </si>
  <si>
    <t>11.</t>
  </si>
  <si>
    <t>12.</t>
  </si>
  <si>
    <t>Inwestycje w jednostkach stowarzyszonych</t>
  </si>
  <si>
    <t>- przypisana akcjonariuszom jednostki dominującej</t>
  </si>
  <si>
    <t>- przypisana udziałom niekontrolującym</t>
  </si>
  <si>
    <t>Wpływ zmian kursów walut na saldo środków pieniężnych w walutach obcych</t>
  </si>
  <si>
    <t>Wynik z działalności operacyjnej (EBIT) bez zdarzeń jednorazowych</t>
  </si>
  <si>
    <t>Accor S.A.</t>
  </si>
  <si>
    <t>Skonsolidowany rachunek zysków i strat w ujęciu analitycznym</t>
  </si>
  <si>
    <t>Przychody segmentu, w tym:</t>
  </si>
  <si>
    <t>Wskaźniki operacyjne hoteli własnych* Grupy Orbis w podziale na główne kategorie</t>
  </si>
  <si>
    <t>Wskaźniki operacyjne hoteli własnych* Grupy Orbis w podziale na segmenty geograficzne</t>
  </si>
  <si>
    <t>Zysk na sprzedaży całości lub części udziałów jednostek podporządkowanych</t>
  </si>
  <si>
    <t>Spłaty kredytów i pożyczek</t>
  </si>
  <si>
    <r>
      <t>Aktywa</t>
    </r>
    <r>
      <rPr>
        <sz val="9"/>
        <color rgb="FFFFFFFF"/>
        <rFont val="Arial"/>
        <family val="2"/>
        <charset val="238"/>
      </rPr>
      <t xml:space="preserve"> </t>
    </r>
  </si>
  <si>
    <r>
      <t>Pasywa</t>
    </r>
    <r>
      <rPr>
        <sz val="9"/>
        <color rgb="FFFFFFFF"/>
        <rFont val="Arial"/>
        <family val="2"/>
        <charset val="238"/>
      </rPr>
      <t xml:space="preserve"> </t>
    </r>
  </si>
  <si>
    <t>Obligacje</t>
  </si>
  <si>
    <t>Wskaźniki operacyjne hoteli zarządzanych i franczyzowanych Grupy Orbis 
w podziale na główne kategorie</t>
  </si>
  <si>
    <t>Wskaźniki operacyjne hoteli zarządzanych i franczyzowanych Grupy Orbis 
w podziale na segmenty geograficzne</t>
  </si>
  <si>
    <t>Wynik na sprzedaży nieruchomości</t>
  </si>
  <si>
    <t>Inne zobowiązania finansowe</t>
  </si>
  <si>
    <t>Podatek dochodowy dotyczący składników, które nie zostaną przeniesione w późniejszych okresach</t>
  </si>
  <si>
    <t>Efektywna część zysków i strat związanych z instrumentem zabezpieczającym w ramach zabezpieczania przepływów pieniężnych</t>
  </si>
  <si>
    <t>Przypisane:</t>
  </si>
  <si>
    <t>Akcjonariuszom jednostki dominującej</t>
  </si>
  <si>
    <t>Udziałom niekontrolującym</t>
  </si>
  <si>
    <t>Skonsolidowane sprawozdanie z całkowitych dochodów</t>
  </si>
  <si>
    <t>Podatek dochodowy dotyczący składników, które mogą zostać przeniesione w późniejszych okresach</t>
  </si>
  <si>
    <t>Odsetki i inne koszty finansowania zewnętrznego</t>
  </si>
  <si>
    <t>% ogólnej liczby akcji 
i głosów na WZ</t>
  </si>
  <si>
    <t>Różnice kursowe z przeliczenia jednostek zagranicznych</t>
  </si>
  <si>
    <t>Aktualizacja wartości aktywów trwałych</t>
  </si>
  <si>
    <t>Spłata odsetek i inne wydatki związane z obsługą zadłużenia z tytułu kredytów i pożyczek</t>
  </si>
  <si>
    <t>Inne całkowite dochody/(straty) po opodatkowaniu</t>
  </si>
  <si>
    <t>% zmiana</t>
  </si>
  <si>
    <t>wyniki raportowane</t>
  </si>
  <si>
    <t>wyniki "like-for-like"</t>
  </si>
  <si>
    <t>Przychody netto ze sprzedaży "like-for-like"</t>
  </si>
  <si>
    <t>EBITDA operacyjna "like-for-like"</t>
  </si>
  <si>
    <t>w tym: spółka zależna Accor S.A. - Accor Polska Sp. z o.o.</t>
  </si>
  <si>
    <t>Pozostałe aktywa długoterminowe</t>
  </si>
  <si>
    <t>Inne krótkoterminowe aktywa finansowe</t>
  </si>
  <si>
    <t>Inne wydatki inwestycyjne</t>
  </si>
  <si>
    <t>Spłata odsetek i inne wydatki związane z obsługą zadłużenia z tytułu obligacji</t>
  </si>
  <si>
    <t>Segmenty geograficzne</t>
  </si>
  <si>
    <t>Wzajemne eliminacje i korekty konsolidacyjne</t>
  </si>
  <si>
    <t>Sprzedaż innym segemntom</t>
  </si>
  <si>
    <t>Zyski i straty aktuarialne z tyt. programu określonych świadczeń pracowniczych</t>
  </si>
  <si>
    <t xml:space="preserve">Przychody ze sprzedaży rzeczowych aktywów trwałych oraz wartości niematerialnych </t>
  </si>
  <si>
    <t>Wpływy od akcjonariusza</t>
  </si>
  <si>
    <t>Nationale-Nederlanden Otwarty Fundusz Emerytalny</t>
  </si>
  <si>
    <t>Wykup hoteli z leasingu</t>
  </si>
  <si>
    <t>Pozostałe wydatki na rzeczowe aktywa trwałe i wartości niematerialne</t>
  </si>
  <si>
    <t>* Obejmują wyniki hoteli własnych i leasingowanych spółek: Orbis S.A., UAB Hekon, Katerinska Hotel s.r.o., Accor Pannonia Hotels Zrt., Accor Pannonia Slovakia, Accor Hotels Romania S.R.L</t>
  </si>
  <si>
    <t>13.</t>
  </si>
  <si>
    <t>I kwartał 2018</t>
  </si>
  <si>
    <t>Wartość skonsolidowana
- I kwartał 2018 roku</t>
  </si>
  <si>
    <t>Utrata wartości należności</t>
  </si>
  <si>
    <t>Stan na 01.01.2018 (dane zaraportowane)</t>
  </si>
  <si>
    <t>Stan na 01.01.2018 (dane przekształcone)</t>
  </si>
  <si>
    <t>- korekta z tytułu wdrożenia MSSF 15</t>
  </si>
  <si>
    <t>Przychody w podziale na rodzaje usług:</t>
  </si>
  <si>
    <t>Usługi noclegowe</t>
  </si>
  <si>
    <t>Usługi gastronomiczne</t>
  </si>
  <si>
    <t>Franczyza i zarządzanie</t>
  </si>
  <si>
    <t>Pozostałe</t>
  </si>
  <si>
    <t>Przychody w podziale na obszary geograficzne:</t>
  </si>
  <si>
    <t>Podział przychodów</t>
  </si>
  <si>
    <t>6.</t>
  </si>
  <si>
    <t>14.</t>
  </si>
  <si>
    <t>Składniki, które nie zostaną przeniesione w późniejszych okresach do rachunku zysków i strat:</t>
  </si>
  <si>
    <t>Składniki, które mogą zostać przeniesione w późniejszych okresach do rachunku zysków i strat:</t>
  </si>
  <si>
    <t>- zysk netto za okres</t>
  </si>
  <si>
    <t>Zysk/(strata) z działalności operacyjnej bez zdarzeń jednorazowych</t>
  </si>
  <si>
    <t>Zysk/(strata) z działalności operacyjnej</t>
  </si>
  <si>
    <t>Zysk/(strata) przed opodatkowaniem</t>
  </si>
  <si>
    <t>Zysk/(strata) netto za okres</t>
  </si>
  <si>
    <t>Zysk/(strata) na jedną akcję zwykłą</t>
  </si>
  <si>
    <t>Podstawowy i rozwodniony zysk/(strata) przypisana akcjonariuszom jednostki dominującej za okres (w zł)</t>
  </si>
  <si>
    <t>Dywidendy i inne wypłaty na rzecz właścicieli</t>
  </si>
  <si>
    <t>Podwyższenie kapitału zakładowego w podmiotach powiązanych</t>
  </si>
  <si>
    <t>Sprzedaż innym segmentom</t>
  </si>
  <si>
    <t>Wydatki z tytułu przejęcia hoteli</t>
  </si>
  <si>
    <t>(Zysk)/Strata z tytułu różnic kursowych</t>
  </si>
  <si>
    <t>(Zysk)/Strata z tytułu działalności inwestycyjnej</t>
  </si>
  <si>
    <t>Przychody/(koszty finansowe)</t>
  </si>
  <si>
    <t>Dwanaście miesięcy zakończonych 31 grudnia 2018 roku</t>
  </si>
  <si>
    <t>Stan na 31.12.2018</t>
  </si>
  <si>
    <t>Aktywa kontraktowe</t>
  </si>
  <si>
    <t>Zobowiązania kontraktowe</t>
  </si>
  <si>
    <t>Zmiana stanu zobowiązań kontraktowych</t>
  </si>
  <si>
    <t>Zmiana stanu należności i aktywów kontraktowych</t>
  </si>
  <si>
    <t>Zmiana stanu pozostałych zobowiązań, z wyjątkiem pożyczek i kredytów</t>
  </si>
  <si>
    <t>Udzielenie pożyczek</t>
  </si>
  <si>
    <t>Kapitał z przeliczenia 
jednostek zagranicznych</t>
  </si>
  <si>
    <t>Zobowiązania z tytułu leasingu</t>
  </si>
  <si>
    <t>I kwartał 2019</t>
  </si>
  <si>
    <t>Stan na 01.01.2019 (dane zaraportowane)</t>
  </si>
  <si>
    <t>Stan na 01.01.2019 (dane przekształcone)</t>
  </si>
  <si>
    <t>- korekta z tytułu wdrożenia MSSF 16</t>
  </si>
  <si>
    <t>Płatności zobowiązań z tytułu umów leasingu</t>
  </si>
  <si>
    <t>Płatności z tytułu odsetek od zobowiązań z tytułu umów leasingu</t>
  </si>
  <si>
    <t>Wartość skonsolidowana
- I kwartał 2019 roku</t>
  </si>
  <si>
    <t>-</t>
  </si>
  <si>
    <t>31.12.2018</t>
  </si>
  <si>
    <t>Rzeczowe aktywa trwałe, w tym:</t>
  </si>
  <si>
    <t xml:space="preserve">     - aktywa z tytułu prawa do użytkowania</t>
  </si>
  <si>
    <t>Nieruchomości inwestycyjne, w tym:</t>
  </si>
  <si>
    <t xml:space="preserve">     - wartość firmy</t>
  </si>
  <si>
    <t>Aktywa klasyfikowane jako przeznaczone do sprzedaży, w tym:</t>
  </si>
  <si>
    <t>Wartość skonsolidowana
- II kwartał 2019 roku</t>
  </si>
  <si>
    <t>Wartość skonsolidowana
- II kwartał 2018 roku</t>
  </si>
  <si>
    <t>II kwartał 2019</t>
  </si>
  <si>
    <t>II kwartał 2018</t>
  </si>
  <si>
    <t>Działalność zaniechana</t>
  </si>
  <si>
    <t>Zysk (strata) netto z działalności kontynuowanej</t>
  </si>
  <si>
    <t>Zysk/(strata) netto z działalności zaniechanej</t>
  </si>
  <si>
    <t>Zysk przed opodatkowaniem z działalności zaniechanej</t>
  </si>
  <si>
    <t>Podstawowy i rozwodniony zysk na akcję przypisany akcjonariuszom jednostki dominującej - działalność zaniechana (w zł)</t>
  </si>
  <si>
    <t xml:space="preserve">     - zobowiązania z tytułu leasingu</t>
  </si>
  <si>
    <t>Zobowiązania związane z aktywami zaklasyfikowanymi jako przeznaczone do sprzedaży, w tym:</t>
  </si>
  <si>
    <t>w tym środki pieniężne zaklasyfikowane do aktywów przeznaczonych do sprzedaży</t>
  </si>
  <si>
    <t>Zysk/(strata) netto z działalności kontynuowanej</t>
  </si>
  <si>
    <t xml:space="preserve">** Spółka wyłączona z konsolidacji, nie prowadzi działalności gospodarczej
</t>
  </si>
  <si>
    <t xml:space="preserve">* Wyniki oraz aktywa i zobowiązania spółki Orbis Kontrakty Sp. z o.o. zakwalifikowane zostały do działalności zaniechanej
</t>
  </si>
  <si>
    <t>III kwartał 2019</t>
  </si>
  <si>
    <t>III kwartał 2018</t>
  </si>
  <si>
    <t>9 miesięcy 2018</t>
  </si>
  <si>
    <t>9 miesięcy 2019</t>
  </si>
  <si>
    <t>Dziewięć miesięcy zakończonych 30 września 2019 roku</t>
  </si>
  <si>
    <t>Stan na 30.09.2019</t>
  </si>
  <si>
    <t>w tym: dziewięć miesięcy zakończonych 30 września 2018 roku</t>
  </si>
  <si>
    <t>Stan na 30.09.2018</t>
  </si>
  <si>
    <t>Stan na 01.07.2019</t>
  </si>
  <si>
    <t>w tym: trzy miesiące zakończone 30 września 2019 roku</t>
  </si>
  <si>
    <t>Wartość skonsolidowana
- III kwartał 2019 roku</t>
  </si>
  <si>
    <t>Wartość skonsolidowana
- III kwartał 2018 roku</t>
  </si>
  <si>
    <t>Wartość skonsolidowana
- 9 miesięcy 2019 roku</t>
  </si>
  <si>
    <t>Wartość skonsolidowana
- 9 miesięcy 2018 roku</t>
  </si>
  <si>
    <t>Podstawowy i rozwodniony zysk na akcję przypisany akcjonariuszom jednostki dominującej - działalność kontynuowana (w zł)</t>
  </si>
  <si>
    <t>30.09.2019</t>
  </si>
  <si>
    <t>30.09.2018</t>
  </si>
  <si>
    <t>30.09.2019/
30.09.2018</t>
  </si>
  <si>
    <t>1,0 p.p.</t>
  </si>
  <si>
    <t>-1,0 p.p.</t>
  </si>
  <si>
    <t>30.06.2019</t>
  </si>
  <si>
    <r>
      <rPr>
        <b/>
        <sz val="14"/>
        <color theme="0"/>
        <rFont val="Arial"/>
        <family val="2"/>
        <charset val="238"/>
      </rPr>
      <t xml:space="preserve">Wybrane dane finansowe i operacyjne Grupy Kapitałowej Orbis </t>
    </r>
    <r>
      <rPr>
        <sz val="14"/>
        <color theme="0"/>
        <rFont val="Arial"/>
        <family val="2"/>
        <charset val="238"/>
      </rPr>
      <t xml:space="preserve">
</t>
    </r>
    <r>
      <rPr>
        <sz val="10"/>
        <color theme="0"/>
        <rFont val="Arial"/>
        <family val="2"/>
        <charset val="238"/>
      </rPr>
      <t>30 października 2019 roku</t>
    </r>
  </si>
  <si>
    <t>Zysk/(strata) przed opodatkowaniem z działalności kontynuowanej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</si>
</sst>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d\-m\-yyyy;@"/>
    <numFmt numFmtId="170" formatCode="0.0"/>
  </numFmts>
  <fonts count="37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  <font>
      <sz val="12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2"/>
      <color theme="10"/>
      <name val="Arial"/>
      <family val="2"/>
      <charset val="238"/>
    </font>
    <font>
      <u/>
      <sz val="9"/>
      <color theme="10"/>
      <name val="Arial"/>
      <family val="2"/>
      <charset val="238"/>
    </font>
    <font>
      <sz val="12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2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96385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</borders>
  <cellStyleXfs count="36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</cellStyleXfs>
  <cellXfs count="236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11" applyFill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3" fillId="2" borderId="0" xfId="0" applyFont="1" applyFill="1"/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2" borderId="0" xfId="11" applyFont="1" applyFill="1"/>
    <xf numFmtId="0" fontId="15" fillId="2" borderId="0" xfId="11" applyFont="1" applyFill="1" applyBorder="1" applyAlignment="1">
      <alignment horizontal="left" indent="1"/>
    </xf>
    <xf numFmtId="0" fontId="16" fillId="2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5" fillId="2" borderId="0" xfId="11" applyFont="1" applyFill="1" applyAlignment="1">
      <alignment horizontal="left" indent="1"/>
    </xf>
    <xf numFmtId="0" fontId="11" fillId="2" borderId="0" xfId="0" applyFont="1" applyFill="1"/>
    <xf numFmtId="3" fontId="6" fillId="2" borderId="0" xfId="0" applyNumberFormat="1" applyFont="1" applyFill="1"/>
    <xf numFmtId="0" fontId="12" fillId="2" borderId="0" xfId="0" applyFont="1" applyFill="1" applyAlignment="1">
      <alignment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/>
    </xf>
    <xf numFmtId="0" fontId="12" fillId="2" borderId="0" xfId="0" applyFont="1" applyFill="1"/>
    <xf numFmtId="0" fontId="12" fillId="0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 wrapText="1"/>
    </xf>
    <xf numFmtId="168" fontId="12" fillId="2" borderId="0" xfId="348" applyNumberFormat="1" applyFont="1" applyFill="1" applyBorder="1"/>
    <xf numFmtId="0" fontId="23" fillId="10" borderId="1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23" fillId="10" borderId="7" xfId="0" applyFont="1" applyFill="1" applyBorder="1" applyAlignment="1">
      <alignment horizontal="right" vertical="center"/>
    </xf>
    <xf numFmtId="168" fontId="23" fillId="10" borderId="0" xfId="348" applyNumberFormat="1" applyFont="1" applyFill="1" applyBorder="1"/>
    <xf numFmtId="0" fontId="12" fillId="5" borderId="2" xfId="0" applyFont="1" applyFill="1" applyBorder="1" applyAlignment="1">
      <alignment horizontal="right" vertical="center"/>
    </xf>
    <xf numFmtId="168" fontId="12" fillId="2" borderId="7" xfId="0" applyNumberFormat="1" applyFont="1" applyFill="1" applyBorder="1" applyAlignment="1">
      <alignment horizontal="right" vertical="center" wrapText="1"/>
    </xf>
    <xf numFmtId="165" fontId="23" fillId="10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right" vertical="center"/>
    </xf>
    <xf numFmtId="168" fontId="24" fillId="0" borderId="0" xfId="359" applyNumberFormat="1" applyFont="1" applyFill="1" applyBorder="1"/>
    <xf numFmtId="166" fontId="23" fillId="10" borderId="2" xfId="346" applyNumberFormat="1" applyFont="1" applyFill="1" applyBorder="1" applyAlignment="1">
      <alignment horizontal="right" vertical="center" wrapText="1" indent="1"/>
    </xf>
    <xf numFmtId="0" fontId="21" fillId="4" borderId="5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166" fontId="12" fillId="5" borderId="2" xfId="346" applyNumberFormat="1" applyFont="1" applyFill="1" applyBorder="1" applyAlignment="1">
      <alignment horizontal="right" vertical="center"/>
    </xf>
    <xf numFmtId="0" fontId="22" fillId="5" borderId="1" xfId="0" applyFont="1" applyFill="1" applyBorder="1" applyAlignment="1">
      <alignment horizontal="left" vertical="center"/>
    </xf>
    <xf numFmtId="166" fontId="22" fillId="5" borderId="2" xfId="346" applyNumberFormat="1" applyFont="1" applyFill="1" applyBorder="1" applyAlignment="1">
      <alignment horizontal="right" vertical="center"/>
    </xf>
    <xf numFmtId="0" fontId="22" fillId="5" borderId="2" xfId="0" applyFont="1" applyFill="1" applyBorder="1" applyAlignment="1">
      <alignment horizontal="right" vertical="center"/>
    </xf>
    <xf numFmtId="168" fontId="12" fillId="2" borderId="0" xfId="348" applyNumberFormat="1" applyFont="1" applyFill="1"/>
    <xf numFmtId="0" fontId="23" fillId="10" borderId="5" xfId="0" applyFont="1" applyFill="1" applyBorder="1" applyAlignment="1">
      <alignment horizontal="justify" vertical="center"/>
    </xf>
    <xf numFmtId="0" fontId="23" fillId="10" borderId="1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justify" vertical="center"/>
    </xf>
    <xf numFmtId="0" fontId="12" fillId="5" borderId="1" xfId="0" applyFont="1" applyFill="1" applyBorder="1" applyAlignment="1">
      <alignment horizontal="justify" vertical="center"/>
    </xf>
    <xf numFmtId="165" fontId="12" fillId="5" borderId="2" xfId="346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justify" vertical="center"/>
    </xf>
    <xf numFmtId="0" fontId="21" fillId="8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right" vertical="center" wrapText="1"/>
    </xf>
    <xf numFmtId="165" fontId="23" fillId="10" borderId="5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horizontal="right" vertical="center" wrapText="1"/>
    </xf>
    <xf numFmtId="165" fontId="23" fillId="5" borderId="2" xfId="346" applyNumberFormat="1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/>
    </xf>
    <xf numFmtId="165" fontId="12" fillId="5" borderId="6" xfId="346" applyNumberFormat="1" applyFont="1" applyFill="1" applyBorder="1" applyAlignment="1">
      <alignment horizontal="right" vertical="center"/>
    </xf>
    <xf numFmtId="165" fontId="12" fillId="5" borderId="6" xfId="346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165" fontId="24" fillId="9" borderId="0" xfId="0" applyNumberFormat="1" applyFont="1" applyFill="1" applyBorder="1" applyAlignment="1" applyProtection="1">
      <alignment horizontal="right" vertical="center"/>
      <protection locked="0"/>
    </xf>
    <xf numFmtId="165" fontId="23" fillId="10" borderId="2" xfId="0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right" vertical="center" wrapText="1"/>
    </xf>
    <xf numFmtId="165" fontId="24" fillId="9" borderId="0" xfId="0" applyNumberFormat="1" applyFont="1" applyFill="1" applyBorder="1" applyAlignment="1">
      <alignment horizontal="right" vertical="center" wrapText="1"/>
    </xf>
    <xf numFmtId="165" fontId="12" fillId="5" borderId="2" xfId="0" applyNumberFormat="1" applyFont="1" applyFill="1" applyBorder="1" applyAlignment="1">
      <alignment horizontal="right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/>
    </xf>
    <xf numFmtId="0" fontId="23" fillId="10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165" fontId="23" fillId="6" borderId="2" xfId="0" applyNumberFormat="1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left" vertical="center" wrapText="1"/>
    </xf>
    <xf numFmtId="167" fontId="12" fillId="10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center" wrapText="1"/>
    </xf>
    <xf numFmtId="165" fontId="23" fillId="10" borderId="6" xfId="0" applyNumberFormat="1" applyFont="1" applyFill="1" applyBorder="1" applyAlignment="1">
      <alignment horizontal="right" vertical="center" wrapText="1"/>
    </xf>
    <xf numFmtId="165" fontId="23" fillId="5" borderId="2" xfId="0" applyNumberFormat="1" applyFont="1" applyFill="1" applyBorder="1" applyAlignment="1">
      <alignment horizontal="right" vertical="center" wrapText="1"/>
    </xf>
    <xf numFmtId="165" fontId="25" fillId="5" borderId="2" xfId="0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left" vertical="center" wrapText="1"/>
    </xf>
    <xf numFmtId="165" fontId="6" fillId="2" borderId="0" xfId="0" applyNumberFormat="1" applyFont="1" applyFill="1"/>
    <xf numFmtId="166" fontId="24" fillId="5" borderId="2" xfId="346" applyNumberFormat="1" applyFont="1" applyFill="1" applyBorder="1" applyAlignment="1">
      <alignment horizontal="right" vertical="center" wrapText="1" indent="1"/>
    </xf>
    <xf numFmtId="166" fontId="12" fillId="5" borderId="2" xfId="346" applyNumberFormat="1" applyFont="1" applyFill="1" applyBorder="1" applyAlignment="1">
      <alignment horizontal="right" vertical="center" wrapText="1" indent="1"/>
    </xf>
    <xf numFmtId="0" fontId="29" fillId="0" borderId="0" xfId="0" applyFont="1" applyFill="1" applyBorder="1" applyAlignment="1" applyProtection="1">
      <alignment vertical="center"/>
    </xf>
    <xf numFmtId="0" fontId="23" fillId="0" borderId="5" xfId="0" applyFont="1" applyFill="1" applyBorder="1" applyAlignment="1">
      <alignment horizontal="left" vertical="center" wrapText="1"/>
    </xf>
    <xf numFmtId="165" fontId="12" fillId="2" borderId="2" xfId="0" applyNumberFormat="1" applyFont="1" applyFill="1" applyBorder="1" applyAlignment="1">
      <alignment horizontal="right" vertical="center"/>
    </xf>
    <xf numFmtId="0" fontId="29" fillId="2" borderId="0" xfId="0" applyFont="1" applyFill="1" applyBorder="1" applyAlignment="1" applyProtection="1">
      <alignment vertical="center"/>
    </xf>
    <xf numFmtId="0" fontId="27" fillId="4" borderId="2" xfId="0" applyFont="1" applyFill="1" applyBorder="1" applyAlignment="1">
      <alignment horizontal="justify" vertical="center"/>
    </xf>
    <xf numFmtId="0" fontId="14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vertical="center"/>
    </xf>
    <xf numFmtId="165" fontId="23" fillId="0" borderId="2" xfId="346" applyNumberFormat="1" applyFont="1" applyBorder="1" applyAlignment="1">
      <alignment vertical="center"/>
    </xf>
    <xf numFmtId="165" fontId="12" fillId="5" borderId="2" xfId="346" applyNumberFormat="1" applyFont="1" applyFill="1" applyBorder="1" applyAlignment="1">
      <alignment vertical="center"/>
    </xf>
    <xf numFmtId="165" fontId="23" fillId="5" borderId="2" xfId="346" applyNumberFormat="1" applyFont="1" applyFill="1" applyBorder="1" applyAlignment="1">
      <alignment vertical="center"/>
    </xf>
    <xf numFmtId="0" fontId="30" fillId="2" borderId="0" xfId="11" applyFont="1" applyFill="1"/>
    <xf numFmtId="0" fontId="31" fillId="2" borderId="0" xfId="11" applyFont="1" applyFill="1"/>
    <xf numFmtId="165" fontId="12" fillId="2" borderId="0" xfId="0" applyNumberFormat="1" applyFont="1" applyFill="1"/>
    <xf numFmtId="170" fontId="12" fillId="5" borderId="2" xfId="0" applyNumberFormat="1" applyFont="1" applyFill="1" applyBorder="1" applyAlignment="1">
      <alignment horizontal="right" vertical="center"/>
    </xf>
    <xf numFmtId="170" fontId="12" fillId="5" borderId="2" xfId="0" applyNumberFormat="1" applyFont="1" applyFill="1" applyBorder="1" applyAlignment="1">
      <alignment horizontal="right" vertical="center" wrapText="1"/>
    </xf>
    <xf numFmtId="168" fontId="12" fillId="5" borderId="2" xfId="0" applyNumberFormat="1" applyFont="1" applyFill="1" applyBorder="1" applyAlignment="1">
      <alignment horizontal="right" vertical="center" wrapText="1"/>
    </xf>
    <xf numFmtId="170" fontId="25" fillId="5" borderId="2" xfId="0" applyNumberFormat="1" applyFont="1" applyFill="1" applyBorder="1" applyAlignment="1">
      <alignment horizontal="right" vertical="center" wrapText="1"/>
    </xf>
    <xf numFmtId="168" fontId="12" fillId="2" borderId="0" xfId="0" applyNumberFormat="1" applyFont="1" applyFill="1"/>
    <xf numFmtId="0" fontId="14" fillId="0" borderId="0" xfId="0" applyFont="1" applyFill="1" applyAlignment="1">
      <alignment horizontal="center" vertical="center"/>
    </xf>
    <xf numFmtId="0" fontId="6" fillId="2" borderId="0" xfId="0" applyFont="1" applyFill="1" applyBorder="1"/>
    <xf numFmtId="0" fontId="14" fillId="0" borderId="0" xfId="0" applyFont="1" applyAlignment="1">
      <alignment horizontal="left" vertical="center"/>
    </xf>
    <xf numFmtId="4" fontId="6" fillId="2" borderId="0" xfId="0" applyNumberFormat="1" applyFont="1" applyFill="1" applyAlignment="1">
      <alignment wrapText="1"/>
    </xf>
    <xf numFmtId="4" fontId="6" fillId="2" borderId="0" xfId="0" applyNumberFormat="1" applyFont="1" applyFill="1"/>
    <xf numFmtId="165" fontId="12" fillId="0" borderId="2" xfId="346" applyNumberFormat="1" applyFont="1" applyFill="1" applyBorder="1" applyAlignment="1">
      <alignment horizontal="right" vertical="center" wrapText="1"/>
    </xf>
    <xf numFmtId="14" fontId="21" fillId="4" borderId="2" xfId="0" applyNumberFormat="1" applyFont="1" applyFill="1" applyBorder="1" applyAlignment="1">
      <alignment horizontal="center" vertical="center" wrapText="1"/>
    </xf>
    <xf numFmtId="168" fontId="24" fillId="2" borderId="0" xfId="0" applyNumberFormat="1" applyFont="1" applyFill="1"/>
    <xf numFmtId="165" fontId="23" fillId="2" borderId="0" xfId="346" applyNumberFormat="1" applyFont="1" applyFill="1" applyBorder="1" applyAlignment="1">
      <alignment horizontal="right" vertical="center"/>
    </xf>
    <xf numFmtId="49" fontId="12" fillId="5" borderId="1" xfId="0" applyNumberFormat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justify" vertical="center"/>
    </xf>
    <xf numFmtId="168" fontId="24" fillId="2" borderId="0" xfId="359" applyNumberFormat="1" applyFont="1" applyFill="1" applyBorder="1"/>
    <xf numFmtId="168" fontId="26" fillId="10" borderId="0" xfId="359" applyNumberFormat="1" applyFont="1" applyFill="1" applyBorder="1" applyAlignment="1">
      <alignment vertical="center"/>
    </xf>
    <xf numFmtId="0" fontId="21" fillId="4" borderId="2" xfId="0" applyFont="1" applyFill="1" applyBorder="1" applyAlignment="1">
      <alignment horizontal="center" vertical="center" wrapText="1"/>
    </xf>
    <xf numFmtId="0" fontId="34" fillId="2" borderId="0" xfId="0" applyFont="1" applyFill="1"/>
    <xf numFmtId="165" fontId="34" fillId="2" borderId="0" xfId="0" applyNumberFormat="1" applyFont="1" applyFill="1"/>
    <xf numFmtId="0" fontId="12" fillId="2" borderId="2" xfId="0" applyFont="1" applyFill="1" applyBorder="1" applyAlignment="1">
      <alignment horizontal="right" vertical="center" wrapText="1"/>
    </xf>
    <xf numFmtId="168" fontId="12" fillId="2" borderId="2" xfId="0" applyNumberFormat="1" applyFont="1" applyFill="1" applyBorder="1" applyAlignment="1">
      <alignment horizontal="right" vertical="center" wrapText="1"/>
    </xf>
    <xf numFmtId="170" fontId="12" fillId="2" borderId="2" xfId="0" applyNumberFormat="1" applyFont="1" applyFill="1" applyBorder="1" applyAlignment="1">
      <alignment horizontal="right" vertical="center" wrapText="1"/>
    </xf>
    <xf numFmtId="170" fontId="24" fillId="2" borderId="2" xfId="0" applyNumberFormat="1" applyFont="1" applyFill="1" applyBorder="1" applyAlignment="1">
      <alignment horizontal="right" vertical="center"/>
    </xf>
    <xf numFmtId="10" fontId="12" fillId="2" borderId="2" xfId="0" applyNumberFormat="1" applyFont="1" applyFill="1" applyBorder="1" applyAlignment="1">
      <alignment horizontal="right" vertical="center" wrapText="1"/>
    </xf>
    <xf numFmtId="170" fontId="25" fillId="2" borderId="2" xfId="0" applyNumberFormat="1" applyFont="1" applyFill="1" applyBorder="1" applyAlignment="1">
      <alignment horizontal="right" vertical="center" wrapText="1"/>
    </xf>
    <xf numFmtId="168" fontId="6" fillId="2" borderId="0" xfId="0" applyNumberFormat="1" applyFont="1" applyFill="1"/>
    <xf numFmtId="10" fontId="6" fillId="2" borderId="0" xfId="348" applyNumberFormat="1" applyFont="1" applyFill="1" applyAlignment="1">
      <alignment wrapText="1"/>
    </xf>
    <xf numFmtId="0" fontId="22" fillId="0" borderId="5" xfId="0" applyFont="1" applyBorder="1" applyAlignment="1">
      <alignment horizontal="left" vertical="center"/>
    </xf>
    <xf numFmtId="168" fontId="22" fillId="2" borderId="0" xfId="348" applyNumberFormat="1" applyFont="1" applyFill="1"/>
    <xf numFmtId="0" fontId="35" fillId="2" borderId="0" xfId="11" applyFont="1" applyFill="1" applyBorder="1" applyAlignment="1">
      <alignment horizontal="left" indent="1"/>
    </xf>
    <xf numFmtId="0" fontId="12" fillId="0" borderId="2" xfId="0" applyFont="1" applyFill="1" applyBorder="1" applyAlignment="1">
      <alignment horizontal="right" vertical="center" wrapText="1"/>
    </xf>
    <xf numFmtId="165" fontId="22" fillId="2" borderId="0" xfId="0" applyNumberFormat="1" applyFont="1" applyFill="1"/>
    <xf numFmtId="165" fontId="12" fillId="5" borderId="0" xfId="0" applyNumberFormat="1" applyFont="1" applyFill="1" applyBorder="1" applyAlignment="1">
      <alignment horizontal="right" vertical="center" wrapText="1"/>
    </xf>
    <xf numFmtId="165" fontId="12" fillId="2" borderId="2" xfId="0" applyNumberFormat="1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5" fontId="12" fillId="0" borderId="2" xfId="346" applyNumberFormat="1" applyFont="1" applyFill="1" applyBorder="1" applyAlignment="1">
      <alignment horizontal="right" vertical="center"/>
    </xf>
    <xf numFmtId="0" fontId="21" fillId="4" borderId="6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21" fillId="4" borderId="2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left" vertical="center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Fill="1"/>
    <xf numFmtId="0" fontId="12" fillId="0" borderId="2" xfId="0" applyNumberFormat="1" applyFont="1" applyFill="1" applyBorder="1" applyAlignment="1">
      <alignment horizontal="right" vertical="center" wrapText="1"/>
    </xf>
    <xf numFmtId="165" fontId="33" fillId="2" borderId="0" xfId="0" applyNumberFormat="1" applyFont="1" applyFill="1" applyAlignment="1">
      <alignment wrapText="1"/>
    </xf>
    <xf numFmtId="168" fontId="12" fillId="2" borderId="0" xfId="348" applyNumberFormat="1" applyFont="1" applyFill="1" applyAlignment="1">
      <alignment horizontal="right"/>
    </xf>
    <xf numFmtId="165" fontId="12" fillId="0" borderId="0" xfId="0" applyNumberFormat="1" applyFont="1" applyFill="1"/>
    <xf numFmtId="165" fontId="22" fillId="0" borderId="0" xfId="0" applyNumberFormat="1" applyFont="1" applyFill="1"/>
    <xf numFmtId="168" fontId="12" fillId="2" borderId="0" xfId="0" applyNumberFormat="1" applyFont="1" applyFill="1" applyAlignment="1">
      <alignment horizontal="right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23" fillId="5" borderId="2" xfId="0" applyFont="1" applyFill="1" applyBorder="1" applyAlignment="1">
      <alignment horizontal="left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167" fontId="12" fillId="5" borderId="2" xfId="346" applyNumberFormat="1" applyFont="1" applyFill="1" applyBorder="1" applyAlignment="1">
      <alignment horizontal="right" vertical="center"/>
    </xf>
    <xf numFmtId="0" fontId="21" fillId="4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left" vertical="center" wrapText="1"/>
    </xf>
    <xf numFmtId="165" fontId="24" fillId="0" borderId="0" xfId="0" applyNumberFormat="1" applyFont="1" applyFill="1" applyBorder="1" applyAlignment="1">
      <alignment horizontal="right" vertical="center" wrapText="1"/>
    </xf>
    <xf numFmtId="165" fontId="12" fillId="0" borderId="2" xfId="346" applyNumberFormat="1" applyFont="1" applyFill="1" applyBorder="1" applyAlignment="1">
      <alignment vertical="center"/>
    </xf>
    <xf numFmtId="165" fontId="25" fillId="0" borderId="2" xfId="0" applyNumberFormat="1" applyFont="1" applyFill="1" applyBorder="1" applyAlignment="1">
      <alignment horizontal="right" vertical="center"/>
    </xf>
    <xf numFmtId="165" fontId="33" fillId="2" borderId="0" xfId="0" applyNumberFormat="1" applyFont="1" applyFill="1"/>
    <xf numFmtId="170" fontId="12" fillId="0" borderId="2" xfId="0" applyNumberFormat="1" applyFont="1" applyFill="1" applyBorder="1" applyAlignment="1">
      <alignment horizontal="right" vertical="center"/>
    </xf>
    <xf numFmtId="168" fontId="12" fillId="0" borderId="0" xfId="0" applyNumberFormat="1" applyFont="1" applyFill="1"/>
    <xf numFmtId="168" fontId="12" fillId="0" borderId="0" xfId="0" applyNumberFormat="1" applyFont="1" applyFill="1" applyAlignment="1">
      <alignment horizontal="right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4" fontId="16" fillId="2" borderId="0" xfId="0" applyNumberFormat="1" applyFont="1" applyFill="1" applyAlignment="1">
      <alignment wrapText="1"/>
    </xf>
    <xf numFmtId="0" fontId="21" fillId="4" borderId="6" xfId="0" applyFont="1" applyFill="1" applyBorder="1" applyAlignment="1">
      <alignment horizontal="center" vertical="center" wrapText="1"/>
    </xf>
    <xf numFmtId="168" fontId="24" fillId="0" borderId="0" xfId="0" applyNumberFormat="1" applyFont="1" applyFill="1"/>
    <xf numFmtId="168" fontId="12" fillId="0" borderId="2" xfId="0" applyNumberFormat="1" applyFont="1" applyFill="1" applyBorder="1" applyAlignment="1">
      <alignment horizontal="right" vertical="center" wrapText="1"/>
    </xf>
    <xf numFmtId="170" fontId="12" fillId="0" borderId="2" xfId="0" applyNumberFormat="1" applyFont="1" applyFill="1" applyBorder="1" applyAlignment="1">
      <alignment horizontal="right" vertical="center" wrapText="1"/>
    </xf>
    <xf numFmtId="170" fontId="24" fillId="0" borderId="2" xfId="0" applyNumberFormat="1" applyFont="1" applyFill="1" applyBorder="1" applyAlignment="1">
      <alignment horizontal="right" vertical="center"/>
    </xf>
    <xf numFmtId="10" fontId="12" fillId="0" borderId="2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/>
    <xf numFmtId="170" fontId="25" fillId="0" borderId="2" xfId="0" applyNumberFormat="1" applyFont="1" applyFill="1" applyBorder="1" applyAlignment="1">
      <alignment horizontal="right" vertical="center" wrapText="1"/>
    </xf>
    <xf numFmtId="165" fontId="12" fillId="0" borderId="2" xfId="0" applyNumberFormat="1" applyFont="1" applyFill="1" applyBorder="1" applyAlignment="1">
      <alignment horizontal="right" vertical="center" wrapText="1"/>
    </xf>
    <xf numFmtId="167" fontId="16" fillId="2" borderId="0" xfId="0" applyNumberFormat="1" applyFont="1" applyFill="1"/>
    <xf numFmtId="167" fontId="33" fillId="2" borderId="0" xfId="0" applyNumberFormat="1" applyFont="1" applyFill="1"/>
    <xf numFmtId="167" fontId="33" fillId="5" borderId="2" xfId="346" applyNumberFormat="1" applyFont="1" applyFill="1" applyBorder="1" applyAlignment="1">
      <alignment horizontal="right" vertical="center"/>
    </xf>
    <xf numFmtId="0" fontId="12" fillId="0" borderId="2" xfId="0" quotePrefix="1" applyFont="1" applyFill="1" applyBorder="1" applyAlignment="1">
      <alignment horizontal="right" vertical="center" wrapText="1"/>
    </xf>
    <xf numFmtId="0" fontId="12" fillId="0" borderId="2" xfId="0" quotePrefix="1" applyNumberFormat="1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2" fillId="2" borderId="0" xfId="0" applyFont="1" applyFill="1" applyBorder="1" applyAlignment="1">
      <alignment horizontal="left"/>
    </xf>
    <xf numFmtId="0" fontId="21" fillId="4" borderId="6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top" wrapText="1"/>
    </xf>
    <xf numFmtId="168" fontId="12" fillId="0" borderId="0" xfId="348" applyNumberFormat="1" applyFont="1" applyFill="1"/>
  </cellXfs>
  <cellStyles count="360">
    <cellStyle name="Comma" xfId="346" builtinId="3"/>
    <cellStyle name="Dziesiętny 2" xfId="32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2" xfId="359"/>
    <cellStyle name="Normalny_SP-95(0)" xfId="315"/>
    <cellStyle name="Percent" xfId="348" builtinId="5"/>
  </cellStyles>
  <dxfs count="0"/>
  <tableStyles count="0" defaultTableStyle="TableStyleMedium9" defaultPivotStyle="PivotStyleMedium4"/>
  <colors>
    <mruColors>
      <color rgb="FF6069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1</xdr:col>
      <xdr:colOff>2466975</xdr:colOff>
      <xdr:row>0</xdr:row>
      <xdr:rowOff>1762125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752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156965</xdr:colOff>
      <xdr:row>4</xdr:row>
      <xdr:rowOff>175592</xdr:rowOff>
    </xdr:from>
    <xdr:to>
      <xdr:col>4</xdr:col>
      <xdr:colOff>844025</xdr:colOff>
      <xdr:row>31</xdr:row>
      <xdr:rowOff>27638</xdr:rowOff>
    </xdr:to>
    <xdr:grpSp>
      <xdr:nvGrpSpPr>
        <xdr:cNvPr id="137" name="Canvas 200"/>
        <xdr:cNvGrpSpPr>
          <a:grpSpLocks/>
        </xdr:cNvGrpSpPr>
      </xdr:nvGrpSpPr>
      <xdr:grpSpPr>
        <a:xfrm>
          <a:off x="156965" y="994742"/>
          <a:ext cx="9040485" cy="4995546"/>
          <a:chOff x="0" y="0"/>
          <a:chExt cx="9040495" cy="4995545"/>
        </a:xfrm>
      </xdr:grpSpPr>
      <xdr:sp macro="" textlink="">
        <xdr:nvSpPr>
          <xdr:cNvPr id="138" name="Rectangle 137"/>
          <xdr:cNvSpPr/>
        </xdr:nvSpPr>
        <xdr:spPr>
          <a:xfrm>
            <a:off x="0" y="0"/>
            <a:ext cx="9040495" cy="4995545"/>
          </a:xfrm>
          <a:prstGeom prst="rect">
            <a:avLst/>
          </a:prstGeom>
          <a:noFill/>
        </xdr:spPr>
      </xdr:sp>
      <xdr:sp macro="" textlink="">
        <xdr:nvSpPr>
          <xdr:cNvPr id="139" name="Text Box 4"/>
          <xdr:cNvSpPr txBox="1">
            <a:spLocks noChangeArrowheads="1"/>
          </xdr:cNvSpPr>
        </xdr:nvSpPr>
        <xdr:spPr bwMode="auto">
          <a:xfrm>
            <a:off x="1997721" y="76200"/>
            <a:ext cx="2787629" cy="447004"/>
          </a:xfrm>
          <a:prstGeom prst="rect">
            <a:avLst/>
          </a:prstGeom>
          <a:solidFill>
            <a:srgbClr val="15438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1000" b="1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Orbis Spółka Akcyjna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ctr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jednostka dominująca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0" name="Text Box 5"/>
          <xdr:cNvSpPr txBox="1">
            <a:spLocks noChangeArrowheads="1"/>
          </xdr:cNvSpPr>
        </xdr:nvSpPr>
        <xdr:spPr bwMode="auto">
          <a:xfrm>
            <a:off x="2043372" y="776606"/>
            <a:ext cx="2742629" cy="345403"/>
          </a:xfrm>
          <a:prstGeom prst="rect">
            <a:avLst/>
          </a:prstGeom>
          <a:solidFill>
            <a:srgbClr val="5B668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                        PODMIOTY ZALEŻNE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1" name="Text Box 7"/>
          <xdr:cNvSpPr txBox="1">
            <a:spLocks noChangeArrowheads="1"/>
          </xdr:cNvSpPr>
        </xdr:nvSpPr>
        <xdr:spPr bwMode="auto">
          <a:xfrm>
            <a:off x="2728579" y="1400186"/>
            <a:ext cx="2054922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Kontrakty Sp. z o.o. 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2" name="Text Box 8"/>
          <xdr:cNvSpPr txBox="1">
            <a:spLocks noChangeArrowheads="1"/>
          </xdr:cNvSpPr>
        </xdr:nvSpPr>
        <xdr:spPr bwMode="auto">
          <a:xfrm>
            <a:off x="2706379" y="314512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Hotels Zrt.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3" name="Text Box 9"/>
          <xdr:cNvSpPr txBox="1">
            <a:spLocks noChangeArrowheads="1"/>
          </xdr:cNvSpPr>
        </xdr:nvSpPr>
        <xdr:spPr bwMode="auto">
          <a:xfrm>
            <a:off x="2726704" y="2566023"/>
            <a:ext cx="2054822" cy="3410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Corporate Sp. z o. o.*</a:t>
            </a: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4" name="Text Box 10"/>
          <xdr:cNvSpPr txBox="1">
            <a:spLocks noChangeArrowheads="1"/>
          </xdr:cNvSpPr>
        </xdr:nvSpPr>
        <xdr:spPr bwMode="auto">
          <a:xfrm>
            <a:off x="2728579" y="1980517"/>
            <a:ext cx="2056122" cy="3429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45" name="Line 11"/>
          <xdr:cNvCxnSpPr/>
        </xdr:nvCxnSpPr>
        <xdr:spPr bwMode="auto">
          <a:xfrm>
            <a:off x="3433436" y="532729"/>
            <a:ext cx="600" cy="23810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6" name="Line 12"/>
          <xdr:cNvCxnSpPr/>
        </xdr:nvCxnSpPr>
        <xdr:spPr bwMode="auto">
          <a:xfrm>
            <a:off x="4795525" y="951807"/>
            <a:ext cx="792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7" name="Line 13"/>
          <xdr:cNvCxnSpPr/>
        </xdr:nvCxnSpPr>
        <xdr:spPr bwMode="auto">
          <a:xfrm flipH="1">
            <a:off x="4781525" y="1569037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8" name="Line 14"/>
          <xdr:cNvCxnSpPr/>
        </xdr:nvCxnSpPr>
        <xdr:spPr bwMode="auto">
          <a:xfrm flipH="1">
            <a:off x="4772000" y="3324830"/>
            <a:ext cx="799200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9" name="Line 15"/>
          <xdr:cNvCxnSpPr/>
        </xdr:nvCxnSpPr>
        <xdr:spPr bwMode="auto">
          <a:xfrm flipH="1">
            <a:off x="4785350" y="274700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0" name="Line 16"/>
          <xdr:cNvCxnSpPr/>
        </xdr:nvCxnSpPr>
        <xdr:spPr bwMode="auto">
          <a:xfrm flipH="1">
            <a:off x="4777776" y="2142444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51" name="Text Box 17"/>
          <xdr:cNvSpPr txBox="1">
            <a:spLocks noChangeArrowheads="1"/>
          </xdr:cNvSpPr>
        </xdr:nvSpPr>
        <xdr:spPr bwMode="auto">
          <a:xfrm>
            <a:off x="4919952" y="1466861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2" name="Text Box 18"/>
          <xdr:cNvSpPr txBox="1">
            <a:spLocks noChangeArrowheads="1"/>
          </xdr:cNvSpPr>
        </xdr:nvSpPr>
        <xdr:spPr bwMode="auto">
          <a:xfrm>
            <a:off x="4919952" y="2037667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3" name="Text Box 19"/>
          <xdr:cNvSpPr txBox="1">
            <a:spLocks noChangeArrowheads="1"/>
          </xdr:cNvSpPr>
        </xdr:nvSpPr>
        <xdr:spPr bwMode="auto">
          <a:xfrm>
            <a:off x="4919952" y="262892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95,08%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4" name="Text Box 20"/>
          <xdr:cNvSpPr txBox="1">
            <a:spLocks noChangeArrowheads="1"/>
          </xdr:cNvSpPr>
        </xdr:nvSpPr>
        <xdr:spPr bwMode="auto">
          <a:xfrm>
            <a:off x="4919952" y="321115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PBP OR</a:t>
            </a: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55" name="Line 21"/>
          <xdr:cNvCxnSpPr/>
        </xdr:nvCxnSpPr>
        <xdr:spPr bwMode="auto">
          <a:xfrm>
            <a:off x="8805593" y="799407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6" name="Line 29"/>
          <xdr:cNvCxnSpPr/>
        </xdr:nvCxnSpPr>
        <xdr:spPr bwMode="auto">
          <a:xfrm>
            <a:off x="2177423" y="1714515"/>
            <a:ext cx="0" cy="22790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57" name="Line 31"/>
          <xdr:cNvCxnSpPr/>
        </xdr:nvCxnSpPr>
        <xdr:spPr bwMode="auto">
          <a:xfrm flipH="1">
            <a:off x="2633929" y="2628924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58" name="Line 32"/>
          <xdr:cNvCxnSpPr/>
        </xdr:nvCxnSpPr>
        <xdr:spPr bwMode="auto">
          <a:xfrm>
            <a:off x="2633928" y="2514623"/>
            <a:ext cx="0" cy="457204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59" name="Line 33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0" name="Line 34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1" name="Line 35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2" name="Line 36"/>
          <xdr:cNvCxnSpPr/>
        </xdr:nvCxnSpPr>
        <xdr:spPr bwMode="auto">
          <a:xfrm>
            <a:off x="6176665" y="4000536"/>
            <a:ext cx="1149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3" name="Line 37"/>
          <xdr:cNvCxnSpPr/>
        </xdr:nvCxnSpPr>
        <xdr:spPr bwMode="auto">
          <a:xfrm flipH="1">
            <a:off x="1833819" y="2628924"/>
            <a:ext cx="800108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4" name="Line 38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5" name="Line 39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6" name="Line 40"/>
          <xdr:cNvCxnSpPr/>
        </xdr:nvCxnSpPr>
        <xdr:spPr bwMode="auto">
          <a:xfrm flipH="1">
            <a:off x="7433978" y="3086128"/>
            <a:ext cx="343504" cy="120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7" name="Line 41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8" name="Line 42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9" name="Line 43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70" name="AutoShape 45"/>
          <xdr:cNvCxnSpPr>
            <a:cxnSpLocks noChangeShapeType="1"/>
          </xdr:cNvCxnSpPr>
        </xdr:nvCxnSpPr>
        <xdr:spPr bwMode="auto">
          <a:xfrm>
            <a:off x="5577284" y="949960"/>
            <a:ext cx="3600" cy="3520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1" name="AutoShape 48"/>
          <xdr:cNvCxnSpPr>
            <a:cxnSpLocks noChangeShapeType="1"/>
          </xdr:cNvCxnSpPr>
        </xdr:nvCxnSpPr>
        <xdr:spPr bwMode="auto">
          <a:xfrm>
            <a:off x="9034195" y="4225238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72" name="Text Box 55"/>
          <xdr:cNvSpPr txBox="1">
            <a:spLocks noChangeArrowheads="1"/>
          </xdr:cNvSpPr>
        </xdr:nvSpPr>
        <xdr:spPr bwMode="auto">
          <a:xfrm>
            <a:off x="2726704" y="372170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Hotels Romania s.r.l.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3" name="Text Box 56"/>
          <xdr:cNvSpPr txBox="1">
            <a:spLocks noChangeArrowheads="1"/>
          </xdr:cNvSpPr>
        </xdr:nvSpPr>
        <xdr:spPr bwMode="auto">
          <a:xfrm>
            <a:off x="2728579" y="4301438"/>
            <a:ext cx="2055600" cy="3417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Katerinska Hotel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4" name="Text Box 59"/>
          <xdr:cNvSpPr txBox="1">
            <a:spLocks noChangeArrowheads="1"/>
          </xdr:cNvSpPr>
        </xdr:nvSpPr>
        <xdr:spPr bwMode="auto">
          <a:xfrm>
            <a:off x="5293" y="2997227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Slovakia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5" name="Text Box 61"/>
          <xdr:cNvSpPr txBox="1">
            <a:spLocks noChangeArrowheads="1"/>
          </xdr:cNvSpPr>
        </xdr:nvSpPr>
        <xdr:spPr bwMode="auto">
          <a:xfrm>
            <a:off x="9525" y="3407165"/>
            <a:ext cx="1827519" cy="229268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indent="0"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+mn-cs"/>
              </a:rPr>
              <a:t>5 Hotel Kft.</a:t>
            </a:r>
          </a:p>
        </xdr:txBody>
      </xdr:sp>
      <xdr:sp macro="" textlink="">
        <xdr:nvSpPr>
          <xdr:cNvPr id="178" name="Text Box 65"/>
          <xdr:cNvSpPr txBox="1">
            <a:spLocks noChangeArrowheads="1"/>
          </xdr:cNvSpPr>
        </xdr:nvSpPr>
        <xdr:spPr bwMode="auto">
          <a:xfrm>
            <a:off x="1945651" y="2997227"/>
            <a:ext cx="572400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9" name="Text Box 67"/>
          <xdr:cNvSpPr txBox="1">
            <a:spLocks noChangeArrowheads="1"/>
          </xdr:cNvSpPr>
        </xdr:nvSpPr>
        <xdr:spPr bwMode="auto">
          <a:xfrm>
            <a:off x="1935064" y="3410123"/>
            <a:ext cx="5708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82" name="Line 71"/>
          <xdr:cNvCxnSpPr/>
        </xdr:nvCxnSpPr>
        <xdr:spPr bwMode="auto">
          <a:xfrm flipH="1">
            <a:off x="4785350" y="389506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3" name="Line 72"/>
          <xdr:cNvCxnSpPr/>
        </xdr:nvCxnSpPr>
        <xdr:spPr bwMode="auto">
          <a:xfrm flipH="1">
            <a:off x="4778976" y="4470389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84" name="Text Box 75"/>
          <xdr:cNvSpPr txBox="1">
            <a:spLocks noChangeArrowheads="1"/>
          </xdr:cNvSpPr>
        </xdr:nvSpPr>
        <xdr:spPr bwMode="auto">
          <a:xfrm>
            <a:off x="4919952" y="3780159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5" name="Text Box 76"/>
          <xdr:cNvSpPr txBox="1">
            <a:spLocks noChangeArrowheads="1"/>
          </xdr:cNvSpPr>
        </xdr:nvSpPr>
        <xdr:spPr bwMode="auto">
          <a:xfrm>
            <a:off x="4919952" y="4358638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86" name="AutoShape 79"/>
          <xdr:cNvCxnSpPr>
            <a:cxnSpLocks noChangeShapeType="1"/>
          </xdr:cNvCxnSpPr>
        </xdr:nvCxnSpPr>
        <xdr:spPr bwMode="auto">
          <a:xfrm flipH="1">
            <a:off x="2617371" y="3321080"/>
            <a:ext cx="91501" cy="6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7" name="AutoShape 83"/>
          <xdr:cNvCxnSpPr>
            <a:cxnSpLocks noChangeShapeType="1"/>
          </xdr:cNvCxnSpPr>
        </xdr:nvCxnSpPr>
        <xdr:spPr bwMode="auto">
          <a:xfrm flipH="1" flipV="1">
            <a:off x="1817993" y="3102145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8" name="AutoShape 85"/>
          <xdr:cNvCxnSpPr>
            <a:cxnSpLocks noChangeShapeType="1"/>
          </xdr:cNvCxnSpPr>
        </xdr:nvCxnSpPr>
        <xdr:spPr bwMode="auto">
          <a:xfrm flipH="1" flipV="1">
            <a:off x="1815831" y="3537099"/>
            <a:ext cx="129600" cy="3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8" name="AutoShape 79"/>
          <xdr:cNvCxnSpPr>
            <a:cxnSpLocks noChangeShapeType="1"/>
          </xdr:cNvCxnSpPr>
        </xdr:nvCxnSpPr>
        <xdr:spPr bwMode="auto">
          <a:xfrm flipH="1">
            <a:off x="2619375" y="3320075"/>
            <a:ext cx="16220" cy="4149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</xdr:col>
      <xdr:colOff>2389850</xdr:colOff>
      <xdr:row>21</xdr:row>
      <xdr:rowOff>39689</xdr:rowOff>
    </xdr:from>
    <xdr:to>
      <xdr:col>1</xdr:col>
      <xdr:colOff>2391833</xdr:colOff>
      <xdr:row>23</xdr:row>
      <xdr:rowOff>111125</xdr:rowOff>
    </xdr:to>
    <xdr:cxnSp macro="">
      <xdr:nvCxnSpPr>
        <xdr:cNvPr id="199" name="AutoShape 89"/>
        <xdr:cNvCxnSpPr>
          <a:cxnSpLocks noChangeShapeType="1"/>
        </xdr:cNvCxnSpPr>
      </xdr:nvCxnSpPr>
      <xdr:spPr bwMode="auto">
        <a:xfrm>
          <a:off x="2770850" y="4097339"/>
          <a:ext cx="1983" cy="452436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2277401</xdr:colOff>
      <xdr:row>23</xdr:row>
      <xdr:rowOff>116417</xdr:rowOff>
    </xdr:from>
    <xdr:to>
      <xdr:col>1</xdr:col>
      <xdr:colOff>2402416</xdr:colOff>
      <xdr:row>23</xdr:row>
      <xdr:rowOff>119063</xdr:rowOff>
    </xdr:to>
    <xdr:cxnSp macro="">
      <xdr:nvCxnSpPr>
        <xdr:cNvPr id="200" name="AutoShape 92"/>
        <xdr:cNvCxnSpPr>
          <a:cxnSpLocks noChangeShapeType="1"/>
        </xdr:cNvCxnSpPr>
      </xdr:nvCxnSpPr>
      <xdr:spPr bwMode="auto">
        <a:xfrm flipV="1">
          <a:off x="2658401" y="4556125"/>
          <a:ext cx="125015" cy="2646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2290976</xdr:colOff>
      <xdr:row>21</xdr:row>
      <xdr:rowOff>37846</xdr:rowOff>
    </xdr:from>
    <xdr:to>
      <xdr:col>1</xdr:col>
      <xdr:colOff>2398891</xdr:colOff>
      <xdr:row>21</xdr:row>
      <xdr:rowOff>37946</xdr:rowOff>
    </xdr:to>
    <xdr:cxnSp macro="">
      <xdr:nvCxnSpPr>
        <xdr:cNvPr id="202" name="AutoShape 92"/>
        <xdr:cNvCxnSpPr>
          <a:cxnSpLocks noChangeShapeType="1"/>
        </xdr:cNvCxnSpPr>
      </xdr:nvCxnSpPr>
      <xdr:spPr bwMode="auto">
        <a:xfrm>
          <a:off x="2671976" y="4092183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5"/>
  <sheetViews>
    <sheetView tabSelected="1" zoomScaleNormal="100" workbookViewId="0">
      <selection activeCell="A2" sqref="A2:B2"/>
    </sheetView>
  </sheetViews>
  <sheetFormatPr defaultColWidth="10.875" defaultRowHeight="15" x14ac:dyDescent="0.2"/>
  <cols>
    <col min="1" max="1" width="4.375" style="2" customWidth="1"/>
    <col min="2" max="2" width="99.875" style="2" customWidth="1"/>
    <col min="3" max="16384" width="10.875" style="2"/>
  </cols>
  <sheetData>
    <row r="1" spans="1:7" ht="147.94999999999999" customHeight="1" x14ac:dyDescent="0.2"/>
    <row r="2" spans="1:7" s="4" customFormat="1" ht="41.1" customHeight="1" x14ac:dyDescent="0.25">
      <c r="A2" s="203" t="s">
        <v>276</v>
      </c>
      <c r="B2" s="204"/>
    </row>
    <row r="4" spans="1:7" ht="15.75" x14ac:dyDescent="0.25">
      <c r="A4" s="205" t="s">
        <v>8</v>
      </c>
      <c r="B4" s="205"/>
      <c r="C4" s="3"/>
    </row>
    <row r="5" spans="1:7" ht="15.75" x14ac:dyDescent="0.25">
      <c r="A5" s="16" t="s">
        <v>24</v>
      </c>
      <c r="B5" s="20" t="str">
        <f>'RZiS i spr. z całkowitych doch.'!B3</f>
        <v>Skonsolidowany rachunek zysków i strat</v>
      </c>
      <c r="C5" s="3"/>
      <c r="D5" s="3"/>
      <c r="E5" s="3"/>
      <c r="F5" s="3"/>
      <c r="G5" s="3"/>
    </row>
    <row r="6" spans="1:7" ht="15.75" x14ac:dyDescent="0.25">
      <c r="A6" s="16" t="s">
        <v>25</v>
      </c>
      <c r="B6" s="17" t="str">
        <f>'Spr. z sytuacji finansowej'!B3</f>
        <v>Skonsolidowane sprawozdanie z sytuacji finansowej</v>
      </c>
      <c r="C6" s="3"/>
      <c r="D6" s="3"/>
      <c r="E6" s="3"/>
      <c r="F6" s="3"/>
      <c r="G6" s="3"/>
    </row>
    <row r="7" spans="1:7" ht="15.75" x14ac:dyDescent="0.25">
      <c r="A7" s="16" t="s">
        <v>26</v>
      </c>
      <c r="B7" s="17" t="str">
        <f>'Zmiany w kapitale'!B3</f>
        <v>Skonsolidowane sprawozdanie ze zmian w kapitale własnym</v>
      </c>
      <c r="C7" s="3"/>
      <c r="D7" s="3"/>
      <c r="E7" s="3"/>
      <c r="F7" s="3"/>
      <c r="G7" s="3"/>
    </row>
    <row r="8" spans="1:7" ht="15.75" x14ac:dyDescent="0.25">
      <c r="A8" s="16" t="s">
        <v>27</v>
      </c>
      <c r="B8" s="17" t="str">
        <f>'Przepływy pieniężne'!_Toc293035359</f>
        <v>Skonsolidowane sprawozdanie z przepływów pieniężnych</v>
      </c>
      <c r="C8" s="3"/>
      <c r="D8" s="3"/>
      <c r="E8" s="3"/>
      <c r="F8" s="3"/>
      <c r="G8" s="3"/>
    </row>
    <row r="9" spans="1:7" ht="15.75" x14ac:dyDescent="0.25">
      <c r="A9" s="16" t="s">
        <v>28</v>
      </c>
      <c r="B9" s="136" t="str">
        <f>'Segmenty operacyjne'!_Toc293035359</f>
        <v>Segmenty operacyjne</v>
      </c>
      <c r="C9" s="3"/>
      <c r="D9" s="3"/>
      <c r="E9" s="3"/>
      <c r="F9" s="3"/>
      <c r="G9" s="3"/>
    </row>
    <row r="10" spans="1:7" ht="15.75" x14ac:dyDescent="0.25">
      <c r="A10" s="16" t="s">
        <v>198</v>
      </c>
      <c r="B10" s="136" t="str">
        <f>Skonsolidowany_rachunek_zysków_i_strat_w_ujęciu_analitycznym</f>
        <v>Segmenty geograficzne</v>
      </c>
      <c r="C10" s="3"/>
      <c r="D10" s="3"/>
      <c r="E10" s="3"/>
      <c r="F10" s="3"/>
      <c r="G10" s="3"/>
    </row>
    <row r="11" spans="1:7" ht="15.75" x14ac:dyDescent="0.25">
      <c r="A11" s="16" t="s">
        <v>29</v>
      </c>
      <c r="B11" s="136" t="s">
        <v>197</v>
      </c>
      <c r="C11" s="3"/>
      <c r="D11" s="3"/>
      <c r="E11" s="3"/>
      <c r="F11" s="3"/>
      <c r="G11" s="3"/>
    </row>
    <row r="12" spans="1:7" ht="15.75" x14ac:dyDescent="0.25">
      <c r="A12" s="16" t="s">
        <v>30</v>
      </c>
      <c r="B12" s="17" t="str">
        <f>RZiS_analityczny!_Toc293035359</f>
        <v>Skonsolidowany rachunek zysków i strat w ujęciu analitycznym</v>
      </c>
      <c r="C12" s="3"/>
      <c r="D12" s="3"/>
      <c r="E12" s="3"/>
      <c r="F12" s="3"/>
      <c r="G12" s="3"/>
    </row>
    <row r="13" spans="1:7" ht="15.75" x14ac:dyDescent="0.25">
      <c r="A13" s="16" t="s">
        <v>114</v>
      </c>
      <c r="B13" s="17" t="s">
        <v>116</v>
      </c>
      <c r="C13" s="3"/>
      <c r="D13" s="3"/>
      <c r="E13" s="3"/>
      <c r="F13" s="3"/>
      <c r="G13" s="3"/>
    </row>
    <row r="14" spans="1:7" ht="15.75" x14ac:dyDescent="0.25">
      <c r="A14" s="16" t="s">
        <v>129</v>
      </c>
      <c r="B14" s="17" t="str">
        <f>'Baza hotelowa'!_Toc293035359</f>
        <v>Baza hotelowa Grupy</v>
      </c>
      <c r="C14" s="3"/>
      <c r="D14" s="3"/>
      <c r="E14" s="3"/>
      <c r="F14" s="3"/>
      <c r="G14" s="3"/>
    </row>
    <row r="15" spans="1:7" ht="15.75" x14ac:dyDescent="0.25">
      <c r="A15" s="16" t="s">
        <v>130</v>
      </c>
      <c r="B15" s="136" t="str">
        <f>Klienci!_Toc293035359</f>
        <v>Struktura klientów Grupy</v>
      </c>
      <c r="C15" s="3"/>
      <c r="D15" s="3"/>
      <c r="E15" s="3"/>
      <c r="F15" s="3"/>
      <c r="G15" s="3"/>
    </row>
    <row r="16" spans="1:7" ht="15.75" x14ac:dyDescent="0.25">
      <c r="A16" s="16" t="s">
        <v>131</v>
      </c>
      <c r="B16" s="17" t="str">
        <f>Zatrudnienie!_Toc293035359</f>
        <v xml:space="preserve">Przeciętne zatrudnienie w Grupie </v>
      </c>
      <c r="C16" s="3"/>
      <c r="D16" s="3"/>
      <c r="E16" s="3"/>
      <c r="F16" s="3"/>
      <c r="G16" s="3"/>
    </row>
    <row r="17" spans="1:7" ht="15.75" x14ac:dyDescent="0.25">
      <c r="A17" s="16" t="s">
        <v>184</v>
      </c>
      <c r="B17" s="17" t="str">
        <f>'Struktura Grupy'!_Toc293035359</f>
        <v>Struktura Grupy</v>
      </c>
      <c r="C17" s="3"/>
      <c r="D17" s="3"/>
      <c r="E17" s="3"/>
      <c r="F17" s="3"/>
      <c r="G17" s="3"/>
    </row>
    <row r="18" spans="1:7" ht="15.75" x14ac:dyDescent="0.25">
      <c r="A18" s="16" t="s">
        <v>199</v>
      </c>
      <c r="B18" s="17" t="str">
        <f>Akcjonariat!_Toc293035359</f>
        <v>Struktura akcjonariatu Orbis S.A.</v>
      </c>
      <c r="C18" s="3"/>
      <c r="D18" s="3"/>
      <c r="E18" s="3"/>
      <c r="F18" s="3"/>
      <c r="G18" s="3"/>
    </row>
    <row r="19" spans="1:7" x14ac:dyDescent="0.2">
      <c r="A19" s="3"/>
      <c r="B19" s="3"/>
      <c r="C19" s="3"/>
    </row>
    <row r="20" spans="1:7" x14ac:dyDescent="0.2">
      <c r="A20" s="1"/>
      <c r="B20" s="3"/>
    </row>
    <row r="21" spans="1:7" x14ac:dyDescent="0.2">
      <c r="B21" s="21"/>
    </row>
    <row r="22" spans="1:7" x14ac:dyDescent="0.2">
      <c r="B22" s="21"/>
    </row>
    <row r="25" spans="1:7" ht="18" customHeight="1" x14ac:dyDescent="0.2"/>
  </sheetData>
  <mergeCells count="2">
    <mergeCell ref="A2:B2"/>
    <mergeCell ref="A4:B4"/>
  </mergeCells>
  <hyperlinks>
    <hyperlink ref="B5" location="'RZiS i spr. z całkowitych doch.'!A1" display="'RZiS i spr. z całkowitych doch.'!A1"/>
    <hyperlink ref="B6" location="'Spr. z sytuacji finansowej'!A1" display="'Spr. z sytuacji finansowej'!A1"/>
    <hyperlink ref="B7" location="'Zmiany w kapitale'!A1" display="'Zmiany w kapitale'!A1"/>
    <hyperlink ref="B8" location="'Przepływy pieniężne'!A1" display="'Przepływy pieniężne'!A1"/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B9" location="'Segmenty operacyjne'!_Toc293035359" display="'Segmenty operacyjne'!_Toc293035359"/>
    <hyperlink ref="B16" location="Zatrudnienie!A1" display="Zatrudnienie!A1"/>
    <hyperlink ref="B17" location="'Struktura Grupy'!A1" display="'Struktura Grupy'!A1"/>
    <hyperlink ref="B18" location="Akcjonariat!A1" display="Akcjonariat!A1"/>
    <hyperlink ref="B12" location="RZiS_analityczny!A1" display="RZiS_analityczny!A1"/>
    <hyperlink ref="B13" location="'Wskaźniki operacyjne'!A1" display="Wskaźniki operacyjne"/>
    <hyperlink ref="B14" location="'Baza hotelowa'!A1" display="'Baza hotelowa'!A1"/>
    <hyperlink ref="B10" location="'Segmenty geograficzne'!A1" display="'Segmenty geograficzne'!A1"/>
    <hyperlink ref="B15" location="Klienci!_Toc293035359" display="Klienci!_Toc293035359"/>
    <hyperlink ref="A10" location="'Przepływy pieniężne'!A1" display="4."/>
    <hyperlink ref="A12" location="'Przepływy pieniężne'!A1" display="4."/>
    <hyperlink ref="A14" location="'Przepływy pieniężne'!A1" display="4."/>
    <hyperlink ref="A16" location="'Przepływy pieniężne'!A1" display="4."/>
    <hyperlink ref="A18" location="'Spr. segmentowa'!A1" display="5."/>
    <hyperlink ref="A11" location="'Spr. segmentowa'!A1" display="5."/>
    <hyperlink ref="A13" location="'Spr. segmentowa'!A1" display="5."/>
    <hyperlink ref="A15" location="'Spr. segmentowa'!A1" display="5."/>
    <hyperlink ref="A17" location="'Spr. segmentowa'!A1" display="5."/>
    <hyperlink ref="B11" location="'Podział przychodów'!A1" display="'Podział przychodów'!A1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D84"/>
  <sheetViews>
    <sheetView showGridLines="0" zoomScale="90" zoomScaleNormal="90" zoomScaleSheetLayoutView="100" workbookViewId="0">
      <pane xSplit="2" topLeftCell="C1" activePane="topRight" state="frozen"/>
      <selection activeCell="S37" sqref="S37"/>
      <selection pane="topRight" activeCell="B3" sqref="B3"/>
    </sheetView>
  </sheetViews>
  <sheetFormatPr defaultColWidth="10.875" defaultRowHeight="15" outlineLevelCol="1" x14ac:dyDescent="0.2"/>
  <cols>
    <col min="1" max="1" width="5" style="2" customWidth="1"/>
    <col min="2" max="2" width="65.25" style="5" customWidth="1"/>
    <col min="3" max="8" width="14.875" style="2" customWidth="1"/>
    <col min="9" max="9" width="10.875" style="2"/>
    <col min="10" max="15" width="14.875" style="2" hidden="1" customWidth="1" outlineLevel="1"/>
    <col min="16" max="16" width="0" style="2" hidden="1" customWidth="1" outlineLevel="1"/>
    <col min="17" max="22" width="14.875" style="2" hidden="1" customWidth="1" outlineLevel="1"/>
    <col min="23" max="23" width="10.875" style="2" hidden="1" customWidth="1" outlineLevel="1"/>
    <col min="24" max="29" width="14.875" style="2" hidden="1" customWidth="1" outlineLevel="1"/>
    <col min="30" max="30" width="10.875" style="2" collapsed="1"/>
    <col min="31" max="16384" width="10.875" style="2"/>
  </cols>
  <sheetData>
    <row r="1" spans="1:29" ht="15.75" x14ac:dyDescent="0.25">
      <c r="A1" s="9" t="s">
        <v>8</v>
      </c>
    </row>
    <row r="2" spans="1:29" ht="15.75" x14ac:dyDescent="0.25">
      <c r="A2" s="9"/>
    </row>
    <row r="3" spans="1:29" ht="18.75" thickBot="1" x14ac:dyDescent="0.3">
      <c r="A3" s="9"/>
      <c r="B3" s="15" t="s">
        <v>116</v>
      </c>
    </row>
    <row r="4" spans="1:29" ht="22.5" customHeight="1" thickTop="1" thickBot="1" x14ac:dyDescent="0.25">
      <c r="B4" s="206" t="s">
        <v>140</v>
      </c>
      <c r="C4" s="144" t="s">
        <v>258</v>
      </c>
      <c r="D4" s="144" t="s">
        <v>257</v>
      </c>
      <c r="E4" s="223" t="s">
        <v>164</v>
      </c>
      <c r="F4" s="187" t="s">
        <v>258</v>
      </c>
      <c r="G4" s="187" t="s">
        <v>257</v>
      </c>
      <c r="H4" s="223" t="s">
        <v>164</v>
      </c>
      <c r="J4" s="187" t="s">
        <v>255</v>
      </c>
      <c r="K4" s="187" t="s">
        <v>256</v>
      </c>
      <c r="L4" s="223" t="s">
        <v>164</v>
      </c>
      <c r="M4" s="189" t="s">
        <v>255</v>
      </c>
      <c r="N4" s="189" t="s">
        <v>256</v>
      </c>
      <c r="O4" s="223" t="s">
        <v>164</v>
      </c>
      <c r="Q4" s="173" t="s">
        <v>242</v>
      </c>
      <c r="R4" s="173" t="s">
        <v>243</v>
      </c>
      <c r="S4" s="223" t="s">
        <v>164</v>
      </c>
      <c r="T4" s="173" t="s">
        <v>242</v>
      </c>
      <c r="U4" s="173" t="s">
        <v>243</v>
      </c>
      <c r="V4" s="223" t="s">
        <v>164</v>
      </c>
      <c r="X4" s="173" t="s">
        <v>226</v>
      </c>
      <c r="Y4" s="173" t="s">
        <v>185</v>
      </c>
      <c r="Z4" s="223" t="s">
        <v>164</v>
      </c>
      <c r="AA4" s="173" t="s">
        <v>226</v>
      </c>
      <c r="AB4" s="173" t="s">
        <v>185</v>
      </c>
      <c r="AC4" s="223" t="s">
        <v>164</v>
      </c>
    </row>
    <row r="5" spans="1:29" ht="22.5" customHeight="1" thickTop="1" thickBot="1" x14ac:dyDescent="0.25">
      <c r="B5" s="207"/>
      <c r="C5" s="208" t="s">
        <v>165</v>
      </c>
      <c r="D5" s="220"/>
      <c r="E5" s="224"/>
      <c r="F5" s="208" t="s">
        <v>166</v>
      </c>
      <c r="G5" s="220"/>
      <c r="H5" s="224"/>
      <c r="J5" s="208" t="s">
        <v>165</v>
      </c>
      <c r="K5" s="220"/>
      <c r="L5" s="224"/>
      <c r="M5" s="208" t="s">
        <v>166</v>
      </c>
      <c r="N5" s="220"/>
      <c r="O5" s="224"/>
      <c r="Q5" s="208" t="s">
        <v>165</v>
      </c>
      <c r="R5" s="220"/>
      <c r="S5" s="224"/>
      <c r="T5" s="208" t="s">
        <v>166</v>
      </c>
      <c r="U5" s="220"/>
      <c r="V5" s="224"/>
      <c r="X5" s="208" t="s">
        <v>165</v>
      </c>
      <c r="Y5" s="220"/>
      <c r="Z5" s="224"/>
      <c r="AA5" s="208" t="s">
        <v>166</v>
      </c>
      <c r="AB5" s="220"/>
      <c r="AC5" s="224"/>
    </row>
    <row r="6" spans="1:29" ht="16.5" thickTop="1" thickBot="1" x14ac:dyDescent="0.25">
      <c r="B6" s="30" t="s">
        <v>117</v>
      </c>
      <c r="C6" s="31"/>
      <c r="D6" s="31"/>
      <c r="E6" s="32"/>
      <c r="F6" s="32"/>
      <c r="G6" s="32"/>
      <c r="H6" s="32"/>
      <c r="J6" s="31"/>
      <c r="K6" s="31"/>
      <c r="L6" s="32"/>
      <c r="M6" s="32"/>
      <c r="N6" s="32"/>
      <c r="O6" s="32"/>
      <c r="Q6" s="31"/>
      <c r="R6" s="31"/>
      <c r="S6" s="32"/>
      <c r="T6" s="32"/>
      <c r="U6" s="32"/>
      <c r="V6" s="32"/>
      <c r="X6" s="31"/>
      <c r="Y6" s="31"/>
      <c r="Z6" s="32"/>
      <c r="AA6" s="32"/>
      <c r="AB6" s="32"/>
      <c r="AC6" s="32"/>
    </row>
    <row r="7" spans="1:29" ht="16.5" thickTop="1" thickBot="1" x14ac:dyDescent="0.25">
      <c r="B7" s="12" t="s">
        <v>118</v>
      </c>
      <c r="C7" s="183">
        <v>0.74</v>
      </c>
      <c r="D7" s="183">
        <v>0.73699999999999999</v>
      </c>
      <c r="E7" s="137" t="str">
        <f>(C7-D7)*100&amp; " p.p."</f>
        <v>0,3 p.p.</v>
      </c>
      <c r="F7" s="183">
        <v>0.748</v>
      </c>
      <c r="G7" s="190">
        <v>0.74399999999999999</v>
      </c>
      <c r="H7" s="137" t="str">
        <f>(F7-G7)*100&amp; " p.p."</f>
        <v>0,4 p.p.</v>
      </c>
      <c r="I7" s="132"/>
      <c r="J7" s="109">
        <v>0.81</v>
      </c>
      <c r="K7" s="109">
        <v>0.80800000000000005</v>
      </c>
      <c r="L7" s="137" t="str">
        <f>(J7-K7)*100&amp; " p.p."</f>
        <v>0,2 p.p.</v>
      </c>
      <c r="M7" s="109">
        <v>0.81599999999999995</v>
      </c>
      <c r="N7" s="117">
        <v>0.81200000000000006</v>
      </c>
      <c r="O7" s="161" t="str">
        <f>ROUND((M7-N7)*100,1)&amp; " p.p."</f>
        <v>0,4 p.p.</v>
      </c>
      <c r="P7" s="132"/>
      <c r="Q7" s="109">
        <v>0.79300000000000004</v>
      </c>
      <c r="R7" s="109">
        <v>0.79500000000000004</v>
      </c>
      <c r="S7" s="137" t="str">
        <f>(Q7-R7)*100&amp; " p.p."</f>
        <v>-0,2 p.p.</v>
      </c>
      <c r="T7" s="109">
        <v>0.79800000000000004</v>
      </c>
      <c r="U7" s="117">
        <v>0.80200000000000005</v>
      </c>
      <c r="V7" s="137" t="str">
        <f>(T7-U7)*100&amp; " p.p."</f>
        <v>-0,4 p.p.</v>
      </c>
      <c r="X7" s="109">
        <v>0.61399999999999999</v>
      </c>
      <c r="Y7" s="109">
        <v>0.61099999999999999</v>
      </c>
      <c r="Z7" s="137" t="str">
        <f>(X7-Y7)*100&amp; " p.p."</f>
        <v>0,3 p.p.</v>
      </c>
      <c r="AA7" s="109">
        <v>0.627</v>
      </c>
      <c r="AB7" s="117">
        <v>0.61499999999999999</v>
      </c>
      <c r="AC7" s="137" t="str">
        <f>(AA7-AB7)*100&amp; " p.p."</f>
        <v>1,2 p.p.</v>
      </c>
    </row>
    <row r="8" spans="1:29" ht="17.100000000000001" customHeight="1" thickTop="1" thickBot="1" x14ac:dyDescent="0.25">
      <c r="B8" s="12" t="s">
        <v>119</v>
      </c>
      <c r="C8" s="182">
        <v>270.5</v>
      </c>
      <c r="D8" s="182">
        <v>260.39999999999998</v>
      </c>
      <c r="E8" s="191">
        <f>C8/D8-1</f>
        <v>3.8786482334869588E-2</v>
      </c>
      <c r="F8" s="192">
        <v>272.3</v>
      </c>
      <c r="G8" s="193">
        <v>259.2</v>
      </c>
      <c r="H8" s="191">
        <f>F8/G8-1</f>
        <v>5.0540123456790154E-2</v>
      </c>
      <c r="J8" s="105">
        <v>281</v>
      </c>
      <c r="K8" s="105">
        <v>265.39999999999998</v>
      </c>
      <c r="L8" s="127">
        <f>J8/K8-1</f>
        <v>5.8779201205727327E-2</v>
      </c>
      <c r="M8" s="128">
        <v>283.2</v>
      </c>
      <c r="N8" s="129">
        <v>267.10000000000002</v>
      </c>
      <c r="O8" s="127">
        <f>M8/N8-1</f>
        <v>6.0277049794084547E-2</v>
      </c>
      <c r="Q8" s="105">
        <v>292.60000000000002</v>
      </c>
      <c r="R8" s="105">
        <v>284.39999999999998</v>
      </c>
      <c r="S8" s="127">
        <f>Q8/R8-1</f>
        <v>2.8832630098452938E-2</v>
      </c>
      <c r="T8" s="128">
        <v>295.39999999999998</v>
      </c>
      <c r="U8" s="129">
        <v>282</v>
      </c>
      <c r="V8" s="127">
        <f>T8/U8-1</f>
        <v>4.7517730496453803E-2</v>
      </c>
      <c r="X8" s="105">
        <v>226.5</v>
      </c>
      <c r="Y8" s="105">
        <v>222.7</v>
      </c>
      <c r="Z8" s="127">
        <f>X8/Y8-1</f>
        <v>1.7063313875168351E-2</v>
      </c>
      <c r="AA8" s="128">
        <v>227.3</v>
      </c>
      <c r="AB8" s="129">
        <v>218.6</v>
      </c>
      <c r="AC8" s="127">
        <f>AA8/AB8-1</f>
        <v>3.9798719121683535E-2</v>
      </c>
    </row>
    <row r="9" spans="1:29" ht="16.5" thickTop="1" thickBot="1" x14ac:dyDescent="0.25">
      <c r="B9" s="12" t="s">
        <v>120</v>
      </c>
      <c r="C9" s="182">
        <v>200.2</v>
      </c>
      <c r="D9" s="182">
        <v>192</v>
      </c>
      <c r="E9" s="191">
        <f>C9/D9-1</f>
        <v>4.2708333333333348E-2</v>
      </c>
      <c r="F9" s="192">
        <v>203.6</v>
      </c>
      <c r="G9" s="193">
        <v>192.8</v>
      </c>
      <c r="H9" s="191">
        <f>F9/G9-1</f>
        <v>5.6016597510373245E-2</v>
      </c>
      <c r="J9" s="105">
        <v>227.6</v>
      </c>
      <c r="K9" s="105">
        <v>214.6</v>
      </c>
      <c r="L9" s="127">
        <f>J9/K9-1</f>
        <v>6.0577819198508909E-2</v>
      </c>
      <c r="M9" s="128">
        <v>231.2</v>
      </c>
      <c r="N9" s="129">
        <v>216.8</v>
      </c>
      <c r="O9" s="127">
        <f>M9/N9-1</f>
        <v>6.6420664206642055E-2</v>
      </c>
      <c r="Q9" s="105">
        <v>232.2</v>
      </c>
      <c r="R9" s="105">
        <v>226</v>
      </c>
      <c r="S9" s="127">
        <f>Q9/R9-1</f>
        <v>2.7433628318584091E-2</v>
      </c>
      <c r="T9" s="128">
        <v>235.8</v>
      </c>
      <c r="U9" s="129">
        <v>226.1</v>
      </c>
      <c r="V9" s="127">
        <f>T9/U9-1</f>
        <v>4.2901371074745676E-2</v>
      </c>
      <c r="X9" s="105">
        <v>139.1</v>
      </c>
      <c r="Y9" s="105">
        <v>136</v>
      </c>
      <c r="Z9" s="127">
        <f>X9/Y9-1</f>
        <v>2.2794117647058743E-2</v>
      </c>
      <c r="AA9" s="128">
        <v>142.6</v>
      </c>
      <c r="AB9" s="129">
        <v>134.5</v>
      </c>
      <c r="AC9" s="127">
        <f>AA9/AB9-1</f>
        <v>6.0223048327137541E-2</v>
      </c>
    </row>
    <row r="10" spans="1:29" ht="16.5" thickTop="1" thickBot="1" x14ac:dyDescent="0.25">
      <c r="B10" s="34" t="s">
        <v>121</v>
      </c>
      <c r="C10" s="182"/>
      <c r="D10" s="182"/>
      <c r="E10" s="137"/>
      <c r="F10" s="192"/>
      <c r="G10" s="193"/>
      <c r="H10" s="137"/>
      <c r="J10" s="105"/>
      <c r="K10" s="105"/>
      <c r="L10" s="126"/>
      <c r="M10" s="128"/>
      <c r="N10" s="129"/>
      <c r="O10" s="126"/>
      <c r="Q10" s="105"/>
      <c r="R10" s="105"/>
      <c r="S10" s="126"/>
      <c r="T10" s="128"/>
      <c r="U10" s="129"/>
      <c r="V10" s="126"/>
      <c r="X10" s="105"/>
      <c r="Y10" s="105"/>
      <c r="Z10" s="126"/>
      <c r="AA10" s="128"/>
      <c r="AB10" s="129"/>
      <c r="AC10" s="126"/>
    </row>
    <row r="11" spans="1:29" ht="16.5" thickTop="1" thickBot="1" x14ac:dyDescent="0.25">
      <c r="B11" s="12" t="s">
        <v>118</v>
      </c>
      <c r="C11" s="183">
        <v>0.73699999999999999</v>
      </c>
      <c r="D11" s="183">
        <v>0.748</v>
      </c>
      <c r="E11" s="137" t="str">
        <f>(C11-D11)*100&amp; " p.p."</f>
        <v>-1,1 p.p.</v>
      </c>
      <c r="F11" s="183">
        <v>0.75800000000000001</v>
      </c>
      <c r="G11" s="190">
        <v>0.75900000000000001</v>
      </c>
      <c r="H11" s="137" t="str">
        <f>(F11-G11)*100&amp; " p.p."</f>
        <v>-0,1 p.p.</v>
      </c>
      <c r="I11" s="132"/>
      <c r="J11" s="109">
        <v>0.8</v>
      </c>
      <c r="K11" s="109">
        <v>0.81200000000000006</v>
      </c>
      <c r="L11" s="137" t="str">
        <f>(J11-K11)*100&amp; " p.p."</f>
        <v>-1,2 p.p.</v>
      </c>
      <c r="M11" s="109">
        <v>0.81699999999999995</v>
      </c>
      <c r="N11" s="117">
        <v>0.82099999999999995</v>
      </c>
      <c r="O11" s="161" t="str">
        <f>ROUND((M11-N11)*100,1)&amp; " p.p."</f>
        <v>-0,4 p.p.</v>
      </c>
      <c r="P11" s="132"/>
      <c r="Q11" s="109">
        <v>0.79700000000000004</v>
      </c>
      <c r="R11" s="109">
        <v>0.8</v>
      </c>
      <c r="S11" s="137" t="str">
        <f>(Q11-R11)*100&amp; " p.p."</f>
        <v>-0,3 p.p.</v>
      </c>
      <c r="T11" s="109">
        <v>0.81200000000000006</v>
      </c>
      <c r="U11" s="117">
        <v>0.81399999999999995</v>
      </c>
      <c r="V11" s="161" t="str">
        <f>ROUND((T11-U11)*100,1)&amp; " p.p."</f>
        <v>-0,2 p.p.</v>
      </c>
      <c r="X11" s="109">
        <v>0.60899999999999999</v>
      </c>
      <c r="Y11" s="109">
        <v>0.63200000000000001</v>
      </c>
      <c r="Z11" s="137" t="str">
        <f>(X11-Y11)*100&amp; " p.p."</f>
        <v>-2,3 p.p.</v>
      </c>
      <c r="AA11" s="109">
        <v>0.64500000000000002</v>
      </c>
      <c r="AB11" s="117">
        <v>0.64</v>
      </c>
      <c r="AC11" s="137" t="str">
        <f>(AA11-AB11)*100&amp; " p.p."</f>
        <v>0,5 p.p.</v>
      </c>
    </row>
    <row r="12" spans="1:29" ht="16.5" thickTop="1" thickBot="1" x14ac:dyDescent="0.25">
      <c r="B12" s="12" t="s">
        <v>119</v>
      </c>
      <c r="C12" s="182">
        <v>197.5</v>
      </c>
      <c r="D12" s="182">
        <v>186.6</v>
      </c>
      <c r="E12" s="191">
        <f>C12/D12-1</f>
        <v>5.8413719185423485E-2</v>
      </c>
      <c r="F12" s="192">
        <v>196.2</v>
      </c>
      <c r="G12" s="193">
        <v>189.3</v>
      </c>
      <c r="H12" s="127">
        <f>F12/G12-1</f>
        <v>3.6450079239302546E-2</v>
      </c>
      <c r="J12" s="105">
        <v>207.2</v>
      </c>
      <c r="K12" s="105">
        <v>196.1</v>
      </c>
      <c r="L12" s="127">
        <f>J12/K12-1</f>
        <v>5.6603773584905648E-2</v>
      </c>
      <c r="M12" s="128">
        <v>206.1</v>
      </c>
      <c r="N12" s="129">
        <v>198.3</v>
      </c>
      <c r="O12" s="127">
        <f>M12/N12-1</f>
        <v>3.9334341906202663E-2</v>
      </c>
      <c r="Q12" s="105">
        <v>215.2</v>
      </c>
      <c r="R12" s="105">
        <v>203.2</v>
      </c>
      <c r="S12" s="127">
        <f>Q12/R12-1</f>
        <v>5.9055118110236116E-2</v>
      </c>
      <c r="T12" s="128">
        <v>215.7</v>
      </c>
      <c r="U12" s="129">
        <v>207.3</v>
      </c>
      <c r="V12" s="127">
        <f>T12/U12-1</f>
        <v>4.0520984081041878E-2</v>
      </c>
      <c r="X12" s="105">
        <v>160.80000000000001</v>
      </c>
      <c r="Y12" s="105">
        <v>153.19999999999999</v>
      </c>
      <c r="Z12" s="127">
        <f>X12/Y12-1</f>
        <v>4.9608355091383949E-2</v>
      </c>
      <c r="AA12" s="128">
        <v>158.5</v>
      </c>
      <c r="AB12" s="129">
        <v>154.80000000000001</v>
      </c>
      <c r="AC12" s="127">
        <f>AA12/AB12-1</f>
        <v>2.390180878552961E-2</v>
      </c>
    </row>
    <row r="13" spans="1:29" ht="16.5" thickTop="1" thickBot="1" x14ac:dyDescent="0.25">
      <c r="B13" s="12" t="s">
        <v>120</v>
      </c>
      <c r="C13" s="182">
        <v>145.6</v>
      </c>
      <c r="D13" s="182">
        <v>139.6</v>
      </c>
      <c r="E13" s="191">
        <f>C13/D13-1</f>
        <v>4.2979942693409656E-2</v>
      </c>
      <c r="F13" s="192">
        <v>148.80000000000001</v>
      </c>
      <c r="G13" s="193">
        <v>143.6</v>
      </c>
      <c r="H13" s="127">
        <f>F13/G13-1</f>
        <v>3.6211699164345523E-2</v>
      </c>
      <c r="J13" s="105">
        <v>165.6</v>
      </c>
      <c r="K13" s="105">
        <v>159.30000000000001</v>
      </c>
      <c r="L13" s="127">
        <f>J13/K13-1</f>
        <v>3.9548022598870025E-2</v>
      </c>
      <c r="M13" s="128">
        <v>168.4</v>
      </c>
      <c r="N13" s="129">
        <v>162.9</v>
      </c>
      <c r="O13" s="127">
        <f>M13/N13-1</f>
        <v>3.3763044812768594E-2</v>
      </c>
      <c r="Q13" s="105">
        <v>171.5</v>
      </c>
      <c r="R13" s="105">
        <v>162.5</v>
      </c>
      <c r="S13" s="127">
        <f>Q13/R13-1</f>
        <v>5.5384615384615365E-2</v>
      </c>
      <c r="T13" s="128">
        <v>175.1</v>
      </c>
      <c r="U13" s="129">
        <v>168.7</v>
      </c>
      <c r="V13" s="127">
        <f>T13/U13-1</f>
        <v>3.7937166567872049E-2</v>
      </c>
      <c r="X13" s="105">
        <v>97.9</v>
      </c>
      <c r="Y13" s="105">
        <v>96.8</v>
      </c>
      <c r="Z13" s="127">
        <f>X13/Y13-1</f>
        <v>1.1363636363636465E-2</v>
      </c>
      <c r="AA13" s="128">
        <v>102.2</v>
      </c>
      <c r="AB13" s="129">
        <v>99</v>
      </c>
      <c r="AC13" s="127">
        <f>AA13/AB13-1</f>
        <v>3.2323232323232309E-2</v>
      </c>
    </row>
    <row r="14" spans="1:29" ht="16.5" thickTop="1" thickBot="1" x14ac:dyDescent="0.25">
      <c r="B14" s="34" t="s">
        <v>122</v>
      </c>
      <c r="C14" s="182"/>
      <c r="D14" s="182"/>
      <c r="E14" s="194"/>
      <c r="F14" s="192"/>
      <c r="G14" s="193"/>
      <c r="H14" s="130"/>
      <c r="J14" s="105"/>
      <c r="K14" s="105"/>
      <c r="L14" s="130"/>
      <c r="M14" s="128"/>
      <c r="N14" s="129"/>
      <c r="O14" s="130"/>
      <c r="Q14" s="105"/>
      <c r="R14" s="105"/>
      <c r="S14" s="130"/>
      <c r="T14" s="128"/>
      <c r="U14" s="129"/>
      <c r="V14" s="130"/>
      <c r="X14" s="105"/>
      <c r="Y14" s="105"/>
      <c r="Z14" s="130"/>
      <c r="AA14" s="128"/>
      <c r="AB14" s="129"/>
      <c r="AC14" s="130"/>
    </row>
    <row r="15" spans="1:29" ht="16.5" thickTop="1" thickBot="1" x14ac:dyDescent="0.25">
      <c r="B15" s="12" t="s">
        <v>118</v>
      </c>
      <c r="C15" s="183">
        <v>0.74199999999999999</v>
      </c>
      <c r="D15" s="183">
        <v>0.73199999999999998</v>
      </c>
      <c r="E15" s="161" t="s">
        <v>273</v>
      </c>
      <c r="F15" s="183">
        <v>0.74199999999999999</v>
      </c>
      <c r="G15" s="190">
        <v>0.73599999999999999</v>
      </c>
      <c r="H15" s="161" t="str">
        <f>ROUND((F15-G15)*100,1)&amp; " p.p."</f>
        <v>0,6 p.p.</v>
      </c>
      <c r="I15" s="132"/>
      <c r="J15" s="109">
        <v>0.81599999999999995</v>
      </c>
      <c r="K15" s="109">
        <v>0.80600000000000005</v>
      </c>
      <c r="L15" s="161" t="s">
        <v>273</v>
      </c>
      <c r="M15" s="109">
        <v>0.81599999999999995</v>
      </c>
      <c r="N15" s="117">
        <v>0.80700000000000005</v>
      </c>
      <c r="O15" s="161" t="str">
        <f>ROUND((M15-N15)*100,1)&amp; " p.p."</f>
        <v>0,9 p.p.</v>
      </c>
      <c r="P15" s="132"/>
      <c r="Q15" s="109">
        <v>0.79100000000000004</v>
      </c>
      <c r="R15" s="109">
        <v>0.79200000000000004</v>
      </c>
      <c r="S15" s="137" t="str">
        <f>(Q15-R15)*100&amp; " p.p."</f>
        <v>-0,1 p.p.</v>
      </c>
      <c r="T15" s="109">
        <v>0.79100000000000004</v>
      </c>
      <c r="U15" s="117">
        <v>0.79600000000000004</v>
      </c>
      <c r="V15" s="137" t="str">
        <f>(T15-U15)*100&amp; " p.p."</f>
        <v>-0,5 p.p.</v>
      </c>
      <c r="X15" s="109">
        <v>0.61699999999999999</v>
      </c>
      <c r="Y15" s="109">
        <v>0.59899999999999998</v>
      </c>
      <c r="Z15" s="137" t="str">
        <f>(X15-Y15)*100&amp; " p.p."</f>
        <v>1,8 p.p.</v>
      </c>
      <c r="AA15" s="109">
        <v>0.61799999999999999</v>
      </c>
      <c r="AB15" s="117">
        <v>0.60199999999999998</v>
      </c>
      <c r="AC15" s="137" t="str">
        <f>(AA15-AB15)*100&amp; " p.p."</f>
        <v>1,6 p.p.</v>
      </c>
    </row>
    <row r="16" spans="1:29" ht="16.5" thickTop="1" thickBot="1" x14ac:dyDescent="0.25">
      <c r="B16" s="12" t="s">
        <v>119</v>
      </c>
      <c r="C16" s="182">
        <v>313.60000000000002</v>
      </c>
      <c r="D16" s="182">
        <v>300.89999999999998</v>
      </c>
      <c r="E16" s="191">
        <f>C16/D16-1</f>
        <v>4.2206713193752243E-2</v>
      </c>
      <c r="F16" s="192">
        <v>314</v>
      </c>
      <c r="G16" s="193">
        <v>297.10000000000002</v>
      </c>
      <c r="H16" s="127">
        <f>F16/G16-1</f>
        <v>5.6883204308313617E-2</v>
      </c>
      <c r="J16" s="105">
        <v>324.8</v>
      </c>
      <c r="K16" s="105">
        <v>303.5</v>
      </c>
      <c r="L16" s="127">
        <f>J16/K16-1</f>
        <v>7.0181219110379001E-2</v>
      </c>
      <c r="M16" s="128">
        <v>324.8</v>
      </c>
      <c r="N16" s="129">
        <v>303.89999999999998</v>
      </c>
      <c r="O16" s="127">
        <f>M16/N16-1</f>
        <v>6.8772622573215036E-2</v>
      </c>
      <c r="Q16" s="105">
        <v>338.4</v>
      </c>
      <c r="R16" s="105">
        <v>328.6</v>
      </c>
      <c r="S16" s="127">
        <f>Q16/R16-1</f>
        <v>2.9823493609251184E-2</v>
      </c>
      <c r="T16" s="128">
        <v>339</v>
      </c>
      <c r="U16" s="129">
        <v>322</v>
      </c>
      <c r="V16" s="127">
        <f>T16/U16-1</f>
        <v>5.2795031055900665E-2</v>
      </c>
      <c r="X16" s="105">
        <v>265.7</v>
      </c>
      <c r="Y16" s="105">
        <v>261.5</v>
      </c>
      <c r="Z16" s="127">
        <f>X16/Y16-1</f>
        <v>1.6061185468451145E-2</v>
      </c>
      <c r="AA16" s="128">
        <v>266.10000000000002</v>
      </c>
      <c r="AB16" s="129">
        <v>254.5</v>
      </c>
      <c r="AC16" s="127">
        <f>AA16/AB16-1</f>
        <v>4.5579567779960861E-2</v>
      </c>
    </row>
    <row r="17" spans="2:29" ht="16.5" thickTop="1" thickBot="1" x14ac:dyDescent="0.25">
      <c r="B17" s="12" t="s">
        <v>120</v>
      </c>
      <c r="C17" s="182">
        <v>232.7</v>
      </c>
      <c r="D17" s="182">
        <v>220.2</v>
      </c>
      <c r="E17" s="191">
        <f>C17/D17-1</f>
        <v>5.6766575840145217E-2</v>
      </c>
      <c r="F17" s="192">
        <v>233.1</v>
      </c>
      <c r="G17" s="193">
        <v>218.6</v>
      </c>
      <c r="H17" s="127">
        <f>F17/G17-1</f>
        <v>6.6331198536139002E-2</v>
      </c>
      <c r="J17" s="105">
        <v>265</v>
      </c>
      <c r="K17" s="105">
        <v>244.7</v>
      </c>
      <c r="L17" s="127">
        <f>J17/K17-1</f>
        <v>8.2958724969350195E-2</v>
      </c>
      <c r="M17" s="128">
        <v>265</v>
      </c>
      <c r="N17" s="129">
        <v>245.2</v>
      </c>
      <c r="O17" s="127">
        <f>M17/N17-1</f>
        <v>8.0750407830342708E-2</v>
      </c>
      <c r="Q17" s="105">
        <v>267.8</v>
      </c>
      <c r="R17" s="105">
        <v>260.2</v>
      </c>
      <c r="S17" s="127">
        <f>Q17/R17-1</f>
        <v>2.9208301306687279E-2</v>
      </c>
      <c r="T17" s="128">
        <v>268.2</v>
      </c>
      <c r="U17" s="129">
        <v>256.10000000000002</v>
      </c>
      <c r="V17" s="127">
        <f>T17/U17-1</f>
        <v>4.7247169074580153E-2</v>
      </c>
      <c r="X17" s="105">
        <v>164</v>
      </c>
      <c r="Y17" s="105">
        <v>156.69999999999999</v>
      </c>
      <c r="Z17" s="127">
        <f>X17/Y17-1</f>
        <v>4.6585832801531613E-2</v>
      </c>
      <c r="AA17" s="128">
        <v>164.4</v>
      </c>
      <c r="AB17" s="129">
        <v>153.30000000000001</v>
      </c>
      <c r="AC17" s="127">
        <f>AA17/AB17-1</f>
        <v>7.2407045009784676E-2</v>
      </c>
    </row>
    <row r="18" spans="2:29" ht="17.100000000000001" customHeight="1" thickTop="1" x14ac:dyDescent="0.2">
      <c r="B18" s="35"/>
    </row>
    <row r="19" spans="2:29" ht="15.75" thickBot="1" x14ac:dyDescent="0.25">
      <c r="B19" s="23"/>
    </row>
    <row r="20" spans="2:29" ht="22.5" customHeight="1" thickTop="1" thickBot="1" x14ac:dyDescent="0.25">
      <c r="B20" s="227" t="s">
        <v>141</v>
      </c>
      <c r="C20" s="187" t="s">
        <v>258</v>
      </c>
      <c r="D20" s="187" t="s">
        <v>257</v>
      </c>
      <c r="E20" s="223" t="s">
        <v>164</v>
      </c>
      <c r="F20" s="187" t="s">
        <v>258</v>
      </c>
      <c r="G20" s="187" t="s">
        <v>257</v>
      </c>
      <c r="H20" s="223" t="s">
        <v>164</v>
      </c>
      <c r="J20" s="189" t="s">
        <v>255</v>
      </c>
      <c r="K20" s="189" t="s">
        <v>256</v>
      </c>
      <c r="L20" s="223" t="s">
        <v>164</v>
      </c>
      <c r="M20" s="189" t="s">
        <v>255</v>
      </c>
      <c r="N20" s="189" t="s">
        <v>256</v>
      </c>
      <c r="O20" s="223" t="s">
        <v>164</v>
      </c>
      <c r="Q20" s="173" t="s">
        <v>242</v>
      </c>
      <c r="R20" s="173" t="s">
        <v>243</v>
      </c>
      <c r="S20" s="223" t="s">
        <v>164</v>
      </c>
      <c r="T20" s="173" t="s">
        <v>242</v>
      </c>
      <c r="U20" s="173" t="s">
        <v>243</v>
      </c>
      <c r="V20" s="223" t="s">
        <v>164</v>
      </c>
      <c r="X20" s="173" t="s">
        <v>226</v>
      </c>
      <c r="Y20" s="173" t="s">
        <v>185</v>
      </c>
      <c r="Z20" s="223" t="s">
        <v>164</v>
      </c>
      <c r="AA20" s="173" t="s">
        <v>226</v>
      </c>
      <c r="AB20" s="173" t="s">
        <v>185</v>
      </c>
      <c r="AC20" s="223" t="s">
        <v>164</v>
      </c>
    </row>
    <row r="21" spans="2:29" ht="22.5" customHeight="1" thickTop="1" thickBot="1" x14ac:dyDescent="0.25">
      <c r="B21" s="228"/>
      <c r="C21" s="208" t="s">
        <v>165</v>
      </c>
      <c r="D21" s="220"/>
      <c r="E21" s="224"/>
      <c r="F21" s="208" t="s">
        <v>166</v>
      </c>
      <c r="G21" s="220"/>
      <c r="H21" s="224"/>
      <c r="J21" s="208" t="s">
        <v>165</v>
      </c>
      <c r="K21" s="220"/>
      <c r="L21" s="224"/>
      <c r="M21" s="208" t="s">
        <v>166</v>
      </c>
      <c r="N21" s="220"/>
      <c r="O21" s="224"/>
      <c r="Q21" s="208" t="s">
        <v>165</v>
      </c>
      <c r="R21" s="220"/>
      <c r="S21" s="224"/>
      <c r="T21" s="208" t="s">
        <v>166</v>
      </c>
      <c r="U21" s="220"/>
      <c r="V21" s="224"/>
      <c r="X21" s="208" t="s">
        <v>165</v>
      </c>
      <c r="Y21" s="220"/>
      <c r="Z21" s="224"/>
      <c r="AA21" s="208" t="s">
        <v>166</v>
      </c>
      <c r="AB21" s="220"/>
      <c r="AC21" s="224"/>
    </row>
    <row r="22" spans="2:29" ht="16.5" thickTop="1" thickBot="1" x14ac:dyDescent="0.25">
      <c r="B22" s="30" t="s">
        <v>100</v>
      </c>
      <c r="C22" s="31"/>
      <c r="D22" s="31"/>
      <c r="E22" s="32"/>
      <c r="F22" s="32"/>
      <c r="G22" s="32"/>
      <c r="H22" s="32"/>
      <c r="J22" s="31"/>
      <c r="K22" s="31"/>
      <c r="L22" s="32"/>
      <c r="M22" s="32"/>
      <c r="N22" s="32"/>
      <c r="O22" s="32"/>
      <c r="Q22" s="31"/>
      <c r="R22" s="31"/>
      <c r="S22" s="32"/>
      <c r="T22" s="32"/>
      <c r="U22" s="32"/>
      <c r="V22" s="32"/>
      <c r="X22" s="31"/>
      <c r="Y22" s="31"/>
      <c r="Z22" s="32"/>
      <c r="AA22" s="32"/>
      <c r="AB22" s="32"/>
      <c r="AC22" s="32"/>
    </row>
    <row r="23" spans="2:29" ht="16.5" thickTop="1" thickBot="1" x14ac:dyDescent="0.25">
      <c r="B23" s="12" t="s">
        <v>118</v>
      </c>
      <c r="C23" s="183">
        <v>0.73</v>
      </c>
      <c r="D23" s="183">
        <v>0.72</v>
      </c>
      <c r="E23" s="161" t="s">
        <v>273</v>
      </c>
      <c r="F23" s="183">
        <v>0.74099999999999999</v>
      </c>
      <c r="G23" s="183">
        <v>0.72399999999999998</v>
      </c>
      <c r="H23" s="137" t="str">
        <f>(F23-G23)*100&amp; " p.p."</f>
        <v>1,7 p.p.</v>
      </c>
      <c r="I23" s="132"/>
      <c r="J23" s="109">
        <v>0.78700000000000003</v>
      </c>
      <c r="K23" s="109">
        <v>0.77900000000000003</v>
      </c>
      <c r="L23" s="161" t="str">
        <f>ROUND((J23-K23)*100,1)&amp; " p.p."</f>
        <v>0,8 p.p.</v>
      </c>
      <c r="M23" s="109">
        <v>0.79900000000000004</v>
      </c>
      <c r="N23" s="109">
        <v>0.78100000000000003</v>
      </c>
      <c r="O23" s="137" t="str">
        <f>(M23-N23)*100&amp; " p.p."</f>
        <v>1,8 p.p.</v>
      </c>
      <c r="P23" s="132"/>
      <c r="Q23" s="109">
        <v>0.77900000000000003</v>
      </c>
      <c r="R23" s="109">
        <v>0.77</v>
      </c>
      <c r="S23" s="161" t="str">
        <f>ROUND((Q23-R23)*100,1)&amp; " p.p."</f>
        <v>0,9 p.p.</v>
      </c>
      <c r="T23" s="109">
        <v>0.78800000000000003</v>
      </c>
      <c r="U23" s="109">
        <v>0.77700000000000002</v>
      </c>
      <c r="V23" s="137" t="str">
        <f>(T23-U23)*100&amp; " p.p."</f>
        <v>1,1 p.p.</v>
      </c>
      <c r="X23" s="109">
        <v>0.621</v>
      </c>
      <c r="Y23" s="109">
        <v>0.61</v>
      </c>
      <c r="Z23" s="137" t="str">
        <f>(X23-Y23)*100&amp; " p.p."</f>
        <v>1,1 p.p.</v>
      </c>
      <c r="AA23" s="109">
        <v>0.63400000000000001</v>
      </c>
      <c r="AB23" s="109">
        <v>0.61299999999999999</v>
      </c>
      <c r="AC23" s="137" t="str">
        <f>(AA23-AB23)*100&amp; " p.p."</f>
        <v>2,1 p.p.</v>
      </c>
    </row>
    <row r="24" spans="2:29" ht="16.5" thickTop="1" thickBot="1" x14ac:dyDescent="0.25">
      <c r="B24" s="12" t="s">
        <v>119</v>
      </c>
      <c r="C24" s="182">
        <v>262.2</v>
      </c>
      <c r="D24" s="182">
        <v>252.6</v>
      </c>
      <c r="E24" s="191">
        <f t="shared" ref="E24:E25" si="0">C24/D24-1</f>
        <v>3.8004750593824133E-2</v>
      </c>
      <c r="F24" s="192">
        <v>262.7</v>
      </c>
      <c r="G24" s="192">
        <v>255.4</v>
      </c>
      <c r="H24" s="191">
        <f t="shared" ref="H24:H25" si="1">F24/G24-1</f>
        <v>2.8582615505089892E-2</v>
      </c>
      <c r="J24" s="105">
        <v>272.10000000000002</v>
      </c>
      <c r="K24" s="105">
        <v>258</v>
      </c>
      <c r="L24" s="127">
        <f t="shared" ref="L24:L25" si="2">J24/K24-1</f>
        <v>5.4651162790697816E-2</v>
      </c>
      <c r="M24" s="128">
        <v>273.10000000000002</v>
      </c>
      <c r="N24" s="128">
        <v>260</v>
      </c>
      <c r="O24" s="127">
        <f t="shared" ref="O24:O25" si="3">M24/N24-1</f>
        <v>5.0384615384615472E-2</v>
      </c>
      <c r="Q24" s="105">
        <v>279.10000000000002</v>
      </c>
      <c r="R24" s="105">
        <v>273.39999999999998</v>
      </c>
      <c r="S24" s="127">
        <f t="shared" ref="S24:S25" si="4">Q24/R24-1</f>
        <v>2.0848573518654101E-2</v>
      </c>
      <c r="T24" s="128">
        <v>280.10000000000002</v>
      </c>
      <c r="U24" s="128">
        <v>277.3</v>
      </c>
      <c r="V24" s="127">
        <f t="shared" ref="V24:V25" si="5">T24/U24-1</f>
        <v>1.0097367472051921E-2</v>
      </c>
      <c r="X24" s="105">
        <v>228.3</v>
      </c>
      <c r="Y24" s="105">
        <v>219.1</v>
      </c>
      <c r="Z24" s="127">
        <f t="shared" ref="Z24:Z25" si="6">X24/Y24-1</f>
        <v>4.1989958922866277E-2</v>
      </c>
      <c r="AA24" s="128">
        <v>227.8</v>
      </c>
      <c r="AB24" s="128">
        <v>221.5</v>
      </c>
      <c r="AC24" s="127">
        <f t="shared" ref="AC24:AC25" si="7">AA24/AB24-1</f>
        <v>2.844243792325063E-2</v>
      </c>
    </row>
    <row r="25" spans="2:29" ht="16.5" thickTop="1" thickBot="1" x14ac:dyDescent="0.25">
      <c r="B25" s="12" t="s">
        <v>120</v>
      </c>
      <c r="C25" s="182">
        <v>191.3</v>
      </c>
      <c r="D25" s="182">
        <v>181.9</v>
      </c>
      <c r="E25" s="191">
        <f t="shared" si="0"/>
        <v>5.1676745464541041E-2</v>
      </c>
      <c r="F25" s="192">
        <v>194.6</v>
      </c>
      <c r="G25" s="192">
        <v>185</v>
      </c>
      <c r="H25" s="191">
        <f t="shared" si="1"/>
        <v>5.1891891891891806E-2</v>
      </c>
      <c r="J25" s="105">
        <v>214.2</v>
      </c>
      <c r="K25" s="105">
        <v>200.9</v>
      </c>
      <c r="L25" s="127">
        <f t="shared" si="2"/>
        <v>6.6202090592334395E-2</v>
      </c>
      <c r="M25" s="128">
        <v>218.1</v>
      </c>
      <c r="N25" s="128">
        <v>203.2</v>
      </c>
      <c r="O25" s="127">
        <f t="shared" si="3"/>
        <v>7.3326771653543288E-2</v>
      </c>
      <c r="Q25" s="105">
        <v>217.5</v>
      </c>
      <c r="R25" s="105">
        <v>210.5</v>
      </c>
      <c r="S25" s="127">
        <f t="shared" si="4"/>
        <v>3.325415676959631E-2</v>
      </c>
      <c r="T25" s="128">
        <v>220.7</v>
      </c>
      <c r="U25" s="128">
        <v>215.4</v>
      </c>
      <c r="V25" s="127">
        <f t="shared" si="5"/>
        <v>2.4605385329619311E-2</v>
      </c>
      <c r="X25" s="105">
        <v>141.69999999999999</v>
      </c>
      <c r="Y25" s="105">
        <v>133.69999999999999</v>
      </c>
      <c r="Z25" s="127">
        <f t="shared" si="6"/>
        <v>5.983545250560951E-2</v>
      </c>
      <c r="AA25" s="128">
        <v>144.5</v>
      </c>
      <c r="AB25" s="128">
        <v>135.9</v>
      </c>
      <c r="AC25" s="127">
        <f t="shared" si="7"/>
        <v>6.3281824871228798E-2</v>
      </c>
    </row>
    <row r="26" spans="2:29" ht="16.5" thickTop="1" thickBot="1" x14ac:dyDescent="0.25">
      <c r="B26" s="34" t="s">
        <v>101</v>
      </c>
      <c r="C26" s="182"/>
      <c r="D26" s="182"/>
      <c r="E26" s="137"/>
      <c r="F26" s="192"/>
      <c r="G26" s="192"/>
      <c r="H26" s="137"/>
      <c r="J26" s="105"/>
      <c r="K26" s="105"/>
      <c r="L26" s="126"/>
      <c r="M26" s="128"/>
      <c r="N26" s="128"/>
      <c r="O26" s="126"/>
      <c r="Q26" s="105"/>
      <c r="R26" s="105"/>
      <c r="S26" s="126"/>
      <c r="T26" s="128"/>
      <c r="U26" s="128"/>
      <c r="V26" s="126"/>
      <c r="X26" s="105"/>
      <c r="Y26" s="105"/>
      <c r="Z26" s="126"/>
      <c r="AA26" s="128"/>
      <c r="AB26" s="128"/>
      <c r="AC26" s="126"/>
    </row>
    <row r="27" spans="2:29" ht="16.5" thickTop="1" thickBot="1" x14ac:dyDescent="0.25">
      <c r="B27" s="12" t="s">
        <v>118</v>
      </c>
      <c r="C27" s="183">
        <v>0.76300000000000001</v>
      </c>
      <c r="D27" s="183">
        <v>0.77400000000000002</v>
      </c>
      <c r="E27" s="161" t="str">
        <f>ROUND((C27-D27)*100,1)&amp; " p.p."</f>
        <v>-1,1 p.p.</v>
      </c>
      <c r="F27" s="183">
        <v>0.76100000000000001</v>
      </c>
      <c r="G27" s="183">
        <v>0.78800000000000003</v>
      </c>
      <c r="H27" s="137" t="str">
        <f>(F27-G27)*100&amp; " p.p."</f>
        <v>-2,7 p.p.</v>
      </c>
      <c r="I27" s="132"/>
      <c r="J27" s="109">
        <v>0.871</v>
      </c>
      <c r="K27" s="109">
        <v>0.90500000000000003</v>
      </c>
      <c r="L27" s="161" t="str">
        <f>ROUND((J27-K27)*100,1)&amp; " p.p."</f>
        <v>-3,4 p.p.</v>
      </c>
      <c r="M27" s="109">
        <v>0.86899999999999999</v>
      </c>
      <c r="N27" s="109">
        <v>0.90500000000000003</v>
      </c>
      <c r="O27" s="137" t="str">
        <f>(M27-N27)*100&amp; " p.p."</f>
        <v>-3,6 p.p.</v>
      </c>
      <c r="P27" s="132"/>
      <c r="Q27" s="109">
        <v>0.82199999999999995</v>
      </c>
      <c r="R27" s="109">
        <v>0.85299999999999998</v>
      </c>
      <c r="S27" s="161" t="str">
        <f>ROUND((Q27-R27)*100,1)&amp; " p.p."</f>
        <v>-3,1 p.p.</v>
      </c>
      <c r="T27" s="109">
        <v>0.82199999999999995</v>
      </c>
      <c r="U27" s="109">
        <v>0.86399999999999999</v>
      </c>
      <c r="V27" s="137" t="str">
        <f>(T27-U27)*100&amp; " p.p."</f>
        <v>-4,2 p.p.</v>
      </c>
      <c r="X27" s="109">
        <v>0.59399999999999997</v>
      </c>
      <c r="Y27" s="109">
        <v>0.58699999999999997</v>
      </c>
      <c r="Z27" s="161" t="str">
        <f>ROUND((X27-Y27)*100,1)&amp; " p.p."</f>
        <v>0,7 p.p.</v>
      </c>
      <c r="AA27" s="109">
        <v>0.59399999999999997</v>
      </c>
      <c r="AB27" s="109">
        <v>0.59</v>
      </c>
      <c r="AC27" s="137" t="str">
        <f>(AA27-AB27)*100&amp; " p.p."</f>
        <v>0,4 p.p.</v>
      </c>
    </row>
    <row r="28" spans="2:29" ht="16.5" thickTop="1" thickBot="1" x14ac:dyDescent="0.25">
      <c r="B28" s="12" t="s">
        <v>119</v>
      </c>
      <c r="C28" s="182">
        <v>279.2</v>
      </c>
      <c r="D28" s="182">
        <v>268.10000000000002</v>
      </c>
      <c r="E28" s="191">
        <f t="shared" ref="E28:E29" si="8">C28/D28-1</f>
        <v>4.140246176799689E-2</v>
      </c>
      <c r="F28" s="192">
        <v>279.60000000000002</v>
      </c>
      <c r="G28" s="192">
        <v>251.1</v>
      </c>
      <c r="H28" s="191">
        <f t="shared" ref="H28:H29" si="9">F28/G28-1</f>
        <v>0.11350059737156526</v>
      </c>
      <c r="J28" s="105">
        <v>296.89999999999998</v>
      </c>
      <c r="K28" s="105">
        <v>268.2</v>
      </c>
      <c r="L28" s="127">
        <f t="shared" ref="L28:L29" si="10">J28/K28-1</f>
        <v>0.10700969425801632</v>
      </c>
      <c r="M28" s="128">
        <v>298.8</v>
      </c>
      <c r="N28" s="128">
        <v>268.2</v>
      </c>
      <c r="O28" s="127">
        <f t="shared" ref="O28:O29" si="11">M28/N28-1</f>
        <v>0.11409395973154379</v>
      </c>
      <c r="Q28" s="105">
        <v>306</v>
      </c>
      <c r="R28" s="105">
        <v>297.7</v>
      </c>
      <c r="S28" s="127">
        <f t="shared" ref="S28:S29" si="12">Q28/R28-1</f>
        <v>2.788041652670481E-2</v>
      </c>
      <c r="T28" s="128">
        <v>306</v>
      </c>
      <c r="U28" s="128">
        <v>270.89999999999998</v>
      </c>
      <c r="V28" s="127">
        <f t="shared" ref="V28:V29" si="13">T28/U28-1</f>
        <v>0.12956810631229243</v>
      </c>
      <c r="X28" s="105">
        <v>210.9</v>
      </c>
      <c r="Y28" s="105">
        <v>226.9</v>
      </c>
      <c r="Z28" s="127">
        <f t="shared" ref="Z28:Z29" si="14">X28/Y28-1</f>
        <v>-7.0515645658880577E-2</v>
      </c>
      <c r="AA28" s="128">
        <v>210.9</v>
      </c>
      <c r="AB28" s="128">
        <v>194.1</v>
      </c>
      <c r="AC28" s="127">
        <f t="shared" ref="AC28:AC29" si="15">AA28/AB28-1</f>
        <v>8.6553323029366469E-2</v>
      </c>
    </row>
    <row r="29" spans="2:29" ht="16.5" thickTop="1" thickBot="1" x14ac:dyDescent="0.25">
      <c r="B29" s="12" t="s">
        <v>120</v>
      </c>
      <c r="C29" s="182">
        <v>213</v>
      </c>
      <c r="D29" s="182">
        <v>207.6</v>
      </c>
      <c r="E29" s="191">
        <f t="shared" si="8"/>
        <v>2.6011560693641744E-2</v>
      </c>
      <c r="F29" s="192">
        <v>212.8</v>
      </c>
      <c r="G29" s="192">
        <v>197.8</v>
      </c>
      <c r="H29" s="191">
        <f t="shared" si="9"/>
        <v>7.5834175935288073E-2</v>
      </c>
      <c r="J29" s="105">
        <v>258.5</v>
      </c>
      <c r="K29" s="105">
        <v>242.6</v>
      </c>
      <c r="L29" s="127">
        <f t="shared" si="10"/>
        <v>6.5539983511953892E-2</v>
      </c>
      <c r="M29" s="128">
        <v>259.60000000000002</v>
      </c>
      <c r="N29" s="128">
        <v>242.7</v>
      </c>
      <c r="O29" s="127">
        <f t="shared" si="11"/>
        <v>6.9633292130202085E-2</v>
      </c>
      <c r="Q29" s="105">
        <v>251.4</v>
      </c>
      <c r="R29" s="105">
        <v>253.9</v>
      </c>
      <c r="S29" s="127">
        <f t="shared" si="12"/>
        <v>-9.8463962189838661E-3</v>
      </c>
      <c r="T29" s="128">
        <v>251.4</v>
      </c>
      <c r="U29" s="128">
        <v>234.2</v>
      </c>
      <c r="V29" s="127">
        <f t="shared" si="13"/>
        <v>7.3441502988898399E-2</v>
      </c>
      <c r="X29" s="105">
        <v>125.2</v>
      </c>
      <c r="Y29" s="105">
        <v>133.19999999999999</v>
      </c>
      <c r="Z29" s="127">
        <f t="shared" si="14"/>
        <v>-6.0060060060059928E-2</v>
      </c>
      <c r="AA29" s="128">
        <v>125.2</v>
      </c>
      <c r="AB29" s="128">
        <v>114.6</v>
      </c>
      <c r="AC29" s="127">
        <f t="shared" si="15"/>
        <v>9.2495636998254804E-2</v>
      </c>
    </row>
    <row r="30" spans="2:29" ht="16.5" thickTop="1" thickBot="1" x14ac:dyDescent="0.25">
      <c r="B30" s="34" t="s">
        <v>102</v>
      </c>
      <c r="C30" s="182"/>
      <c r="D30" s="182"/>
      <c r="E30" s="137"/>
      <c r="F30" s="192"/>
      <c r="G30" s="192"/>
      <c r="H30" s="137"/>
      <c r="J30" s="105"/>
      <c r="K30" s="105"/>
      <c r="L30" s="126"/>
      <c r="M30" s="128"/>
      <c r="N30" s="128"/>
      <c r="O30" s="126"/>
      <c r="Q30" s="105"/>
      <c r="R30" s="105"/>
      <c r="S30" s="126"/>
      <c r="T30" s="128"/>
      <c r="U30" s="128"/>
      <c r="V30" s="126"/>
      <c r="X30" s="105"/>
      <c r="Y30" s="105"/>
      <c r="Z30" s="126"/>
      <c r="AA30" s="128"/>
      <c r="AB30" s="128"/>
      <c r="AC30" s="126"/>
    </row>
    <row r="31" spans="2:29" ht="16.5" thickTop="1" thickBot="1" x14ac:dyDescent="0.25">
      <c r="B31" s="12" t="s">
        <v>118</v>
      </c>
      <c r="C31" s="183">
        <v>0.76100000000000001</v>
      </c>
      <c r="D31" s="183">
        <v>0.755</v>
      </c>
      <c r="E31" s="161" t="str">
        <f>ROUND((C31-D31)*100,1)&amp; " p.p."</f>
        <v>0,6 p.p.</v>
      </c>
      <c r="F31" s="183">
        <v>0.76100000000000001</v>
      </c>
      <c r="G31" s="183">
        <v>0.76900000000000002</v>
      </c>
      <c r="H31" s="161" t="str">
        <f>ROUND((F31-G31)*100,1)&amp; " p.p."</f>
        <v>-0,8 p.p.</v>
      </c>
      <c r="I31" s="195"/>
      <c r="J31" s="109">
        <v>0.83499999999999996</v>
      </c>
      <c r="K31" s="109">
        <v>0.84499999999999997</v>
      </c>
      <c r="L31" s="201" t="s">
        <v>274</v>
      </c>
      <c r="M31" s="109">
        <v>0.83499999999999996</v>
      </c>
      <c r="N31" s="109">
        <v>0.85</v>
      </c>
      <c r="O31" s="161" t="str">
        <f>ROUND((M31-N31)*100,1)&amp; " p.p."</f>
        <v>-1,5 p.p.</v>
      </c>
      <c r="P31" s="132"/>
      <c r="Q31" s="109">
        <v>0.80900000000000005</v>
      </c>
      <c r="R31" s="109">
        <v>0.80600000000000005</v>
      </c>
      <c r="S31" s="137" t="str">
        <f>(Q31-R31)*100&amp; " p.p."</f>
        <v>0,3 p.p.</v>
      </c>
      <c r="T31" s="109">
        <v>0.80900000000000005</v>
      </c>
      <c r="U31" s="109">
        <v>0.82399999999999995</v>
      </c>
      <c r="V31" s="161" t="str">
        <f>ROUND((T31-U31)*100,1)&amp; " p.p."</f>
        <v>-1,5 p.p.</v>
      </c>
      <c r="X31" s="109">
        <v>0.63500000000000001</v>
      </c>
      <c r="Y31" s="109">
        <v>0.61599999999999999</v>
      </c>
      <c r="Z31" s="137" t="str">
        <f>(X31-Y31)*100&amp; " p.p."</f>
        <v>1,9 p.p.</v>
      </c>
      <c r="AA31" s="109">
        <v>0.63500000000000001</v>
      </c>
      <c r="AB31" s="109">
        <v>0.63</v>
      </c>
      <c r="AC31" s="137" t="str">
        <f>(AA31-AB31)*100&amp; " p.p."</f>
        <v>0,5 p.p.</v>
      </c>
    </row>
    <row r="32" spans="2:29" ht="16.5" thickTop="1" thickBot="1" x14ac:dyDescent="0.25">
      <c r="B32" s="12" t="s">
        <v>119</v>
      </c>
      <c r="C32" s="182">
        <v>306.8</v>
      </c>
      <c r="D32" s="182">
        <v>286.89999999999998</v>
      </c>
      <c r="E32" s="191">
        <f t="shared" ref="E32:E33" si="16">C32/D32-1</f>
        <v>6.9362147089578441E-2</v>
      </c>
      <c r="F32" s="192">
        <v>306.8</v>
      </c>
      <c r="G32" s="192">
        <v>295.3</v>
      </c>
      <c r="H32" s="191">
        <f t="shared" ref="H32:H33" si="17">F32/G32-1</f>
        <v>3.894344734168631E-2</v>
      </c>
      <c r="I32" s="149"/>
      <c r="J32" s="105">
        <v>320.3</v>
      </c>
      <c r="K32" s="105">
        <v>308.7</v>
      </c>
      <c r="L32" s="127">
        <f t="shared" ref="L32:L33" si="18">J32/K32-1</f>
        <v>3.7576935536119294E-2</v>
      </c>
      <c r="M32" s="128">
        <v>320.3</v>
      </c>
      <c r="N32" s="128">
        <v>313.5</v>
      </c>
      <c r="O32" s="127">
        <f t="shared" ref="O32:O33" si="19">M32/N32-1</f>
        <v>2.1690590111642871E-2</v>
      </c>
      <c r="Q32" s="105">
        <v>354.9</v>
      </c>
      <c r="R32" s="105">
        <v>320.7</v>
      </c>
      <c r="S32" s="127">
        <f t="shared" ref="S32:S33" si="20">Q32/R32-1</f>
        <v>0.10664172123479876</v>
      </c>
      <c r="T32" s="128">
        <v>354.9</v>
      </c>
      <c r="U32" s="128">
        <v>334.4</v>
      </c>
      <c r="V32" s="127">
        <f t="shared" ref="V32:V33" si="21">T32/U32-1</f>
        <v>6.1303827751196138E-2</v>
      </c>
      <c r="X32" s="105">
        <v>227.1</v>
      </c>
      <c r="Y32" s="105">
        <v>215</v>
      </c>
      <c r="Z32" s="127">
        <f t="shared" ref="Z32:Z33" si="22">X32/Y32-1</f>
        <v>5.6279069767441792E-2</v>
      </c>
      <c r="AA32" s="128">
        <v>227.1</v>
      </c>
      <c r="AB32" s="128">
        <v>220.2</v>
      </c>
      <c r="AC32" s="127">
        <f t="shared" ref="AC32:AC33" si="23">AA32/AB32-1</f>
        <v>3.1335149863760181E-2</v>
      </c>
    </row>
    <row r="33" spans="2:29" ht="16.5" thickTop="1" thickBot="1" x14ac:dyDescent="0.25">
      <c r="B33" s="12" t="s">
        <v>120</v>
      </c>
      <c r="C33" s="182">
        <v>233.3</v>
      </c>
      <c r="D33" s="182">
        <v>216.5</v>
      </c>
      <c r="E33" s="191">
        <f t="shared" si="16"/>
        <v>7.7598152424942279E-2</v>
      </c>
      <c r="F33" s="192">
        <v>233.3</v>
      </c>
      <c r="G33" s="192">
        <v>227.2</v>
      </c>
      <c r="H33" s="191">
        <f t="shared" si="17"/>
        <v>2.6848591549295975E-2</v>
      </c>
      <c r="I33" s="149"/>
      <c r="J33" s="105">
        <v>267.60000000000002</v>
      </c>
      <c r="K33" s="105">
        <v>260.8</v>
      </c>
      <c r="L33" s="127">
        <f t="shared" si="18"/>
        <v>2.6073619631901801E-2</v>
      </c>
      <c r="M33" s="128">
        <v>267.60000000000002</v>
      </c>
      <c r="N33" s="128">
        <v>266.5</v>
      </c>
      <c r="O33" s="127">
        <f t="shared" si="19"/>
        <v>4.1275797373359069E-3</v>
      </c>
      <c r="Q33" s="105">
        <v>287.10000000000002</v>
      </c>
      <c r="R33" s="105">
        <v>258.5</v>
      </c>
      <c r="S33" s="127">
        <f t="shared" si="20"/>
        <v>0.11063829787234059</v>
      </c>
      <c r="T33" s="128">
        <v>287.10000000000002</v>
      </c>
      <c r="U33" s="128">
        <v>275.60000000000002</v>
      </c>
      <c r="V33" s="127">
        <f t="shared" si="21"/>
        <v>4.172714078374451E-2</v>
      </c>
      <c r="X33" s="105">
        <v>144.30000000000001</v>
      </c>
      <c r="Y33" s="105">
        <v>132.4</v>
      </c>
      <c r="Z33" s="127">
        <f t="shared" si="22"/>
        <v>8.9879154078549961E-2</v>
      </c>
      <c r="AA33" s="128">
        <v>144.30000000000001</v>
      </c>
      <c r="AB33" s="128">
        <v>138.69999999999999</v>
      </c>
      <c r="AC33" s="127">
        <f t="shared" si="23"/>
        <v>4.0374909877433529E-2</v>
      </c>
    </row>
    <row r="34" spans="2:29" ht="16.5" thickTop="1" thickBot="1" x14ac:dyDescent="0.25">
      <c r="B34" s="34" t="s">
        <v>103</v>
      </c>
      <c r="C34" s="182"/>
      <c r="D34" s="182"/>
      <c r="E34" s="137"/>
      <c r="F34" s="192"/>
      <c r="G34" s="192"/>
      <c r="H34" s="137"/>
      <c r="I34" s="149"/>
      <c r="J34" s="105"/>
      <c r="K34" s="105"/>
      <c r="L34" s="126"/>
      <c r="M34" s="128"/>
      <c r="N34" s="128"/>
      <c r="O34" s="126"/>
      <c r="Q34" s="105"/>
      <c r="R34" s="105"/>
      <c r="S34" s="126"/>
      <c r="T34" s="128"/>
      <c r="U34" s="128"/>
      <c r="V34" s="126"/>
      <c r="X34" s="105"/>
      <c r="Y34" s="105"/>
      <c r="Z34" s="126"/>
      <c r="AA34" s="128"/>
      <c r="AB34" s="128"/>
      <c r="AC34" s="126"/>
    </row>
    <row r="35" spans="2:29" ht="16.5" thickTop="1" thickBot="1" x14ac:dyDescent="0.25">
      <c r="B35" s="12" t="s">
        <v>118</v>
      </c>
      <c r="C35" s="183">
        <v>0.75700000000000001</v>
      </c>
      <c r="D35" s="183">
        <v>0.77900000000000003</v>
      </c>
      <c r="E35" s="161" t="str">
        <f>ROUND((C35-D35)*100,1)&amp; " p.p."</f>
        <v>-2,2 p.p.</v>
      </c>
      <c r="F35" s="183">
        <v>0.76800000000000002</v>
      </c>
      <c r="G35" s="183">
        <v>0.78400000000000003</v>
      </c>
      <c r="H35" s="161" t="str">
        <f>ROUND((F35-G35)*100,1)&amp; " p.p."</f>
        <v>-1,6 p.p.</v>
      </c>
      <c r="I35" s="132"/>
      <c r="J35" s="109">
        <v>0.82599999999999996</v>
      </c>
      <c r="K35" s="109">
        <v>0.77700000000000002</v>
      </c>
      <c r="L35" s="161" t="str">
        <f>ROUND((J35-K35)*100,1)&amp; " p.p."</f>
        <v>4,9 p.p.</v>
      </c>
      <c r="M35" s="109">
        <v>0.81499999999999995</v>
      </c>
      <c r="N35" s="109">
        <v>0.78800000000000003</v>
      </c>
      <c r="O35" s="161" t="str">
        <f>ROUND((M35-N35)*100,1)&amp; " p.p."</f>
        <v>2,7 p.p.</v>
      </c>
      <c r="P35" s="132"/>
      <c r="Q35" s="109">
        <v>0.83</v>
      </c>
      <c r="R35" s="109">
        <v>0.84899999999999998</v>
      </c>
      <c r="S35" s="137" t="str">
        <f>(Q35-R35)*100&amp; " p.p."</f>
        <v>-1,9 p.p.</v>
      </c>
      <c r="T35" s="109">
        <v>0.82399999999999995</v>
      </c>
      <c r="U35" s="109">
        <v>0.84899999999999998</v>
      </c>
      <c r="V35" s="161" t="str">
        <f>ROUND((T35-U35)*100,1)&amp; " p.p."</f>
        <v>-2,5 p.p.</v>
      </c>
      <c r="X35" s="109">
        <v>0.58599999999999997</v>
      </c>
      <c r="Y35" s="109">
        <v>0.71199999999999997</v>
      </c>
      <c r="Z35" s="137" t="str">
        <f>(X35-Y35)*100&amp; " p.p."</f>
        <v>-12,6 p.p.</v>
      </c>
      <c r="AA35" s="109">
        <v>0.65200000000000002</v>
      </c>
      <c r="AB35" s="109">
        <v>0.71199999999999997</v>
      </c>
      <c r="AC35" s="161" t="str">
        <f>ROUND((AA35-AB35)*100,1)&amp; " p.p."</f>
        <v>-6 p.p.</v>
      </c>
    </row>
    <row r="36" spans="2:29" ht="16.5" thickTop="1" thickBot="1" x14ac:dyDescent="0.25">
      <c r="B36" s="12" t="s">
        <v>119</v>
      </c>
      <c r="C36" s="182">
        <v>279.39999999999998</v>
      </c>
      <c r="D36" s="182">
        <v>276.39999999999998</v>
      </c>
      <c r="E36" s="191">
        <f t="shared" ref="E36:E37" si="24">C36/D36-1</f>
        <v>1.0853835021707781E-2</v>
      </c>
      <c r="F36" s="192">
        <v>303.39999999999998</v>
      </c>
      <c r="G36" s="192">
        <v>277.2</v>
      </c>
      <c r="H36" s="191">
        <f t="shared" ref="H36:H37" si="25">F36/G36-1</f>
        <v>9.4516594516594443E-2</v>
      </c>
      <c r="J36" s="105">
        <v>269.8</v>
      </c>
      <c r="K36" s="105">
        <v>269.39999999999998</v>
      </c>
      <c r="L36" s="127">
        <f t="shared" ref="L36:L37" si="26">J36/K36-1</f>
        <v>1.4847809948033142E-3</v>
      </c>
      <c r="M36" s="128">
        <v>285.60000000000002</v>
      </c>
      <c r="N36" s="128">
        <v>271.5</v>
      </c>
      <c r="O36" s="127">
        <f t="shared" ref="O36:O37" si="27">M36/N36-1</f>
        <v>5.1933701657458586E-2</v>
      </c>
      <c r="Q36" s="105">
        <v>305.8</v>
      </c>
      <c r="R36" s="105">
        <v>298.7</v>
      </c>
      <c r="S36" s="127">
        <f t="shared" ref="S36:S37" si="28">Q36/R36-1</f>
        <v>2.3769668563776492E-2</v>
      </c>
      <c r="T36" s="128">
        <v>344.5</v>
      </c>
      <c r="U36" s="128">
        <v>298.7</v>
      </c>
      <c r="V36" s="127">
        <f t="shared" ref="V36:V37" si="29">T36/U36-1</f>
        <v>0.15333110143957152</v>
      </c>
      <c r="X36" s="105">
        <v>248.7</v>
      </c>
      <c r="Y36" s="105">
        <v>260.5</v>
      </c>
      <c r="Z36" s="127">
        <f t="shared" ref="Z36:Z37" si="30">X36/Y36-1</f>
        <v>-4.5297504798464505E-2</v>
      </c>
      <c r="AA36" s="128">
        <v>278.7</v>
      </c>
      <c r="AB36" s="128">
        <v>260.89999999999998</v>
      </c>
      <c r="AC36" s="127">
        <f t="shared" ref="AC36:AC37" si="31">AA36/AB36-1</f>
        <v>6.8225373706400916E-2</v>
      </c>
    </row>
    <row r="37" spans="2:29" ht="16.5" thickTop="1" thickBot="1" x14ac:dyDescent="0.25">
      <c r="B37" s="12" t="s">
        <v>120</v>
      </c>
      <c r="C37" s="182">
        <v>211.4</v>
      </c>
      <c r="D37" s="182">
        <v>215.4</v>
      </c>
      <c r="E37" s="191">
        <f t="shared" si="24"/>
        <v>-1.8570102135561761E-2</v>
      </c>
      <c r="F37" s="192">
        <v>233</v>
      </c>
      <c r="G37" s="192">
        <v>217.2</v>
      </c>
      <c r="H37" s="191">
        <f t="shared" si="25"/>
        <v>7.274401473296499E-2</v>
      </c>
      <c r="J37" s="105">
        <v>222.8</v>
      </c>
      <c r="K37" s="105">
        <v>209.4</v>
      </c>
      <c r="L37" s="127">
        <f t="shared" si="26"/>
        <v>6.399235912129897E-2</v>
      </c>
      <c r="M37" s="128">
        <v>232.7</v>
      </c>
      <c r="N37" s="128">
        <v>214</v>
      </c>
      <c r="O37" s="127">
        <f t="shared" si="27"/>
        <v>8.7383177570093507E-2</v>
      </c>
      <c r="Q37" s="105">
        <v>253.9</v>
      </c>
      <c r="R37" s="105">
        <v>253.6</v>
      </c>
      <c r="S37" s="127">
        <f t="shared" si="28"/>
        <v>1.1829652996846463E-3</v>
      </c>
      <c r="T37" s="128">
        <v>283.8</v>
      </c>
      <c r="U37" s="128">
        <v>253.6</v>
      </c>
      <c r="V37" s="127">
        <f t="shared" si="29"/>
        <v>0.11908517350157743</v>
      </c>
      <c r="X37" s="105">
        <v>145.69999999999999</v>
      </c>
      <c r="Y37" s="105">
        <v>185.5</v>
      </c>
      <c r="Z37" s="127">
        <f t="shared" si="30"/>
        <v>-0.21455525606469006</v>
      </c>
      <c r="AA37" s="128">
        <v>181.8</v>
      </c>
      <c r="AB37" s="128">
        <v>185.5</v>
      </c>
      <c r="AC37" s="127">
        <f t="shared" si="31"/>
        <v>-1.99460916442048E-2</v>
      </c>
    </row>
    <row r="38" spans="2:29" ht="15.75" thickTop="1" x14ac:dyDescent="0.2">
      <c r="B38" s="23"/>
    </row>
    <row r="39" spans="2:29" ht="36" x14ac:dyDescent="0.2">
      <c r="B39" s="23" t="s">
        <v>183</v>
      </c>
    </row>
    <row r="40" spans="2:29" x14ac:dyDescent="0.2">
      <c r="B40" s="23"/>
    </row>
    <row r="41" spans="2:29" ht="15.75" thickBot="1" x14ac:dyDescent="0.25">
      <c r="B41" s="23"/>
    </row>
    <row r="42" spans="2:29" ht="22.5" customHeight="1" thickTop="1" thickBot="1" x14ac:dyDescent="0.25">
      <c r="B42" s="227" t="s">
        <v>147</v>
      </c>
      <c r="C42" s="187" t="s">
        <v>258</v>
      </c>
      <c r="D42" s="187" t="s">
        <v>257</v>
      </c>
      <c r="E42" s="223" t="s">
        <v>164</v>
      </c>
      <c r="F42" s="187" t="s">
        <v>258</v>
      </c>
      <c r="G42" s="187" t="s">
        <v>257</v>
      </c>
      <c r="H42" s="223" t="s">
        <v>164</v>
      </c>
      <c r="J42" s="189" t="s">
        <v>255</v>
      </c>
      <c r="K42" s="189" t="s">
        <v>256</v>
      </c>
      <c r="L42" s="223" t="s">
        <v>164</v>
      </c>
      <c r="M42" s="189" t="s">
        <v>255</v>
      </c>
      <c r="N42" s="189" t="s">
        <v>256</v>
      </c>
      <c r="O42" s="223" t="s">
        <v>164</v>
      </c>
      <c r="Q42" s="173" t="s">
        <v>242</v>
      </c>
      <c r="R42" s="173" t="s">
        <v>243</v>
      </c>
      <c r="S42" s="223" t="s">
        <v>164</v>
      </c>
      <c r="T42" s="173" t="s">
        <v>242</v>
      </c>
      <c r="U42" s="173" t="s">
        <v>243</v>
      </c>
      <c r="V42" s="223" t="s">
        <v>164</v>
      </c>
      <c r="X42" s="173" t="s">
        <v>226</v>
      </c>
      <c r="Y42" s="173" t="s">
        <v>185</v>
      </c>
      <c r="Z42" s="223" t="s">
        <v>164</v>
      </c>
      <c r="AA42" s="173" t="s">
        <v>226</v>
      </c>
      <c r="AB42" s="173" t="s">
        <v>185</v>
      </c>
      <c r="AC42" s="223" t="s">
        <v>164</v>
      </c>
    </row>
    <row r="43" spans="2:29" ht="22.5" customHeight="1" thickTop="1" thickBot="1" x14ac:dyDescent="0.25">
      <c r="B43" s="207"/>
      <c r="C43" s="208" t="s">
        <v>165</v>
      </c>
      <c r="D43" s="220"/>
      <c r="E43" s="224"/>
      <c r="F43" s="208" t="s">
        <v>166</v>
      </c>
      <c r="G43" s="220"/>
      <c r="H43" s="224"/>
      <c r="J43" s="208" t="s">
        <v>165</v>
      </c>
      <c r="K43" s="220"/>
      <c r="L43" s="224"/>
      <c r="M43" s="208" t="s">
        <v>166</v>
      </c>
      <c r="N43" s="220"/>
      <c r="O43" s="224"/>
      <c r="Q43" s="208" t="s">
        <v>165</v>
      </c>
      <c r="R43" s="220"/>
      <c r="S43" s="224"/>
      <c r="T43" s="208" t="s">
        <v>166</v>
      </c>
      <c r="U43" s="220"/>
      <c r="V43" s="224"/>
      <c r="X43" s="208" t="s">
        <v>165</v>
      </c>
      <c r="Y43" s="220"/>
      <c r="Z43" s="224"/>
      <c r="AA43" s="208" t="s">
        <v>166</v>
      </c>
      <c r="AB43" s="220"/>
      <c r="AC43" s="224"/>
    </row>
    <row r="44" spans="2:29" ht="16.5" thickTop="1" thickBot="1" x14ac:dyDescent="0.25">
      <c r="B44" s="30" t="s">
        <v>117</v>
      </c>
      <c r="C44" s="31"/>
      <c r="D44" s="31"/>
      <c r="E44" s="32"/>
      <c r="F44" s="32"/>
      <c r="G44" s="32"/>
      <c r="H44" s="32"/>
      <c r="J44" s="31"/>
      <c r="K44" s="31"/>
      <c r="L44" s="32"/>
      <c r="M44" s="32"/>
      <c r="N44" s="32"/>
      <c r="O44" s="32"/>
      <c r="Q44" s="31"/>
      <c r="R44" s="31"/>
      <c r="S44" s="32"/>
      <c r="T44" s="32"/>
      <c r="U44" s="32"/>
      <c r="V44" s="32"/>
      <c r="X44" s="31"/>
      <c r="Y44" s="31"/>
      <c r="Z44" s="32"/>
      <c r="AA44" s="32"/>
      <c r="AB44" s="32"/>
      <c r="AC44" s="32"/>
    </row>
    <row r="45" spans="2:29" ht="16.5" thickTop="1" thickBot="1" x14ac:dyDescent="0.25">
      <c r="B45" s="12" t="s">
        <v>118</v>
      </c>
      <c r="C45" s="183">
        <v>0.64900000000000002</v>
      </c>
      <c r="D45" s="183">
        <v>0.65100000000000002</v>
      </c>
      <c r="E45" s="161" t="str">
        <f>ROUND((C45-D45)*100,1)&amp; " p.p."</f>
        <v>-0,2 p.p.</v>
      </c>
      <c r="F45" s="183">
        <v>0.66600000000000004</v>
      </c>
      <c r="G45" s="183">
        <v>0.65800000000000003</v>
      </c>
      <c r="H45" s="161" t="str">
        <f>ROUND((F45-G45)*100,1)&amp; " p.p."</f>
        <v>0,8 p.p.</v>
      </c>
      <c r="I45" s="132"/>
      <c r="J45" s="109">
        <v>0.72799999999999998</v>
      </c>
      <c r="K45" s="183">
        <v>0.73799999999999999</v>
      </c>
      <c r="L45" s="202" t="s">
        <v>274</v>
      </c>
      <c r="M45" s="109">
        <v>0.74399999999999999</v>
      </c>
      <c r="N45" s="109">
        <v>0.73899999999999999</v>
      </c>
      <c r="O45" s="161" t="str">
        <f>ROUND((M45-N45)*100,1)&amp; " p.p."</f>
        <v>0,5 p.p.</v>
      </c>
      <c r="P45" s="132"/>
      <c r="Q45" s="109">
        <v>0.67400000000000004</v>
      </c>
      <c r="R45" s="183">
        <v>0.66700000000000004</v>
      </c>
      <c r="S45" s="161" t="str">
        <f>ROUND((Q45-R45)*100,1)&amp; " p.p."</f>
        <v>0,7 p.p.</v>
      </c>
      <c r="T45" s="109">
        <v>0.68500000000000005</v>
      </c>
      <c r="U45" s="109">
        <v>0.67600000000000005</v>
      </c>
      <c r="V45" s="161" t="str">
        <f>ROUND((T45-U45)*100,1)&amp; " p.p."</f>
        <v>0,9 p.p.</v>
      </c>
      <c r="X45" s="109">
        <v>0.53600000000000003</v>
      </c>
      <c r="Y45" s="109">
        <v>0.52800000000000002</v>
      </c>
      <c r="Z45" s="161" t="str">
        <f>ROUND((X45-Y45)*100,1)&amp; " p.p."</f>
        <v>0,8 p.p.</v>
      </c>
      <c r="AA45" s="109">
        <v>0.54800000000000004</v>
      </c>
      <c r="AB45" s="109">
        <v>0.54</v>
      </c>
      <c r="AC45" s="161" t="str">
        <f>ROUND((AA45-AB45)*100,1)&amp; " p.p."</f>
        <v>0,8 p.p.</v>
      </c>
    </row>
    <row r="46" spans="2:29" ht="16.5" thickTop="1" thickBot="1" x14ac:dyDescent="0.25">
      <c r="B46" s="12" t="s">
        <v>119</v>
      </c>
      <c r="C46" s="182">
        <v>232.3</v>
      </c>
      <c r="D46" s="182">
        <v>212.3</v>
      </c>
      <c r="E46" s="191">
        <f t="shared" ref="E46:E47" si="32">C46/D46-1</f>
        <v>9.4206311822892186E-2</v>
      </c>
      <c r="F46" s="192">
        <v>226.5</v>
      </c>
      <c r="G46" s="192">
        <v>213.3</v>
      </c>
      <c r="H46" s="127">
        <f t="shared" ref="H46:H47" si="33">F46/G46-1</f>
        <v>6.1884669479606025E-2</v>
      </c>
      <c r="J46" s="105">
        <v>239.3</v>
      </c>
      <c r="K46" s="182">
        <v>229.1</v>
      </c>
      <c r="L46" s="127">
        <f t="shared" ref="L46:L47" si="34">J46/K46-1</f>
        <v>4.4522042776080406E-2</v>
      </c>
      <c r="M46" s="128">
        <v>243.4</v>
      </c>
      <c r="N46" s="128">
        <v>230.9</v>
      </c>
      <c r="O46" s="127">
        <f t="shared" ref="O46:O47" si="35">M46/N46-1</f>
        <v>5.4135989605889945E-2</v>
      </c>
      <c r="Q46" s="105">
        <v>238.4</v>
      </c>
      <c r="R46" s="182">
        <v>211.5</v>
      </c>
      <c r="S46" s="127">
        <f t="shared" ref="S46:S47" si="36">Q46/R46-1</f>
        <v>0.12718676122931449</v>
      </c>
      <c r="T46" s="128">
        <v>225.8</v>
      </c>
      <c r="U46" s="128">
        <v>212</v>
      </c>
      <c r="V46" s="127">
        <f t="shared" ref="V46:V47" si="37">T46/U46-1</f>
        <v>6.509433962264155E-2</v>
      </c>
      <c r="X46" s="105">
        <v>212</v>
      </c>
      <c r="Y46" s="105">
        <v>184.7</v>
      </c>
      <c r="Z46" s="127">
        <f t="shared" ref="Z46:Z47" si="38">X46/Y46-1</f>
        <v>0.14780725500812131</v>
      </c>
      <c r="AA46" s="128">
        <v>198</v>
      </c>
      <c r="AB46" s="128">
        <v>187.5</v>
      </c>
      <c r="AC46" s="127">
        <f t="shared" ref="AC46:AC47" si="39">AA46/AB46-1</f>
        <v>5.600000000000005E-2</v>
      </c>
    </row>
    <row r="47" spans="2:29" ht="16.5" thickTop="1" thickBot="1" x14ac:dyDescent="0.25">
      <c r="B47" s="12" t="s">
        <v>120</v>
      </c>
      <c r="C47" s="182">
        <v>150.80000000000001</v>
      </c>
      <c r="D47" s="182">
        <v>138.1</v>
      </c>
      <c r="E47" s="191">
        <f t="shared" si="32"/>
        <v>9.1962346125995742E-2</v>
      </c>
      <c r="F47" s="192">
        <v>150.80000000000001</v>
      </c>
      <c r="G47" s="192">
        <v>140.30000000000001</v>
      </c>
      <c r="H47" s="127">
        <f t="shared" si="33"/>
        <v>7.4839629365645033E-2</v>
      </c>
      <c r="J47" s="105">
        <v>174.2</v>
      </c>
      <c r="K47" s="182">
        <v>169.1</v>
      </c>
      <c r="L47" s="127">
        <f t="shared" si="34"/>
        <v>3.0159668835008757E-2</v>
      </c>
      <c r="M47" s="128">
        <v>181.1</v>
      </c>
      <c r="N47" s="128">
        <v>170.6</v>
      </c>
      <c r="O47" s="127">
        <f t="shared" si="35"/>
        <v>6.1547479484173495E-2</v>
      </c>
      <c r="Q47" s="105">
        <v>160.6</v>
      </c>
      <c r="R47" s="182">
        <v>141.1</v>
      </c>
      <c r="S47" s="127">
        <f t="shared" si="36"/>
        <v>0.13819985825655556</v>
      </c>
      <c r="T47" s="128">
        <v>154.80000000000001</v>
      </c>
      <c r="U47" s="128">
        <v>143.4</v>
      </c>
      <c r="V47" s="127">
        <f t="shared" si="37"/>
        <v>7.9497907949790836E-2</v>
      </c>
      <c r="X47" s="105">
        <v>113.6</v>
      </c>
      <c r="Y47" s="105">
        <v>97.6</v>
      </c>
      <c r="Z47" s="127">
        <f t="shared" si="38"/>
        <v>0.16393442622950816</v>
      </c>
      <c r="AA47" s="128">
        <v>108.6</v>
      </c>
      <c r="AB47" s="128">
        <v>101.3</v>
      </c>
      <c r="AC47" s="127">
        <f t="shared" si="39"/>
        <v>7.206317867719636E-2</v>
      </c>
    </row>
    <row r="48" spans="2:29" ht="16.5" thickTop="1" thickBot="1" x14ac:dyDescent="0.25">
      <c r="B48" s="34" t="s">
        <v>121</v>
      </c>
      <c r="C48" s="182"/>
      <c r="D48" s="182"/>
      <c r="E48" s="137"/>
      <c r="F48" s="192"/>
      <c r="G48" s="192"/>
      <c r="H48" s="126"/>
      <c r="J48" s="105"/>
      <c r="K48" s="182"/>
      <c r="L48" s="126"/>
      <c r="M48" s="128"/>
      <c r="N48" s="128"/>
      <c r="O48" s="126"/>
      <c r="Q48" s="105"/>
      <c r="R48" s="182"/>
      <c r="S48" s="126"/>
      <c r="T48" s="128"/>
      <c r="U48" s="128"/>
      <c r="V48" s="126"/>
      <c r="X48" s="105"/>
      <c r="Y48" s="105"/>
      <c r="Z48" s="126"/>
      <c r="AA48" s="128"/>
      <c r="AB48" s="128"/>
      <c r="AC48" s="126"/>
    </row>
    <row r="49" spans="2:29" ht="16.5" thickTop="1" thickBot="1" x14ac:dyDescent="0.25">
      <c r="B49" s="12" t="s">
        <v>118</v>
      </c>
      <c r="C49" s="183">
        <v>0.67200000000000004</v>
      </c>
      <c r="D49" s="183">
        <v>0.68300000000000005</v>
      </c>
      <c r="E49" s="161" t="str">
        <f>ROUND((C49-D49)*100,1)&amp; " p.p."</f>
        <v>-1,1 p.p.</v>
      </c>
      <c r="F49" s="183">
        <v>0.69599999999999995</v>
      </c>
      <c r="G49" s="183">
        <v>0.68400000000000005</v>
      </c>
      <c r="H49" s="161" t="str">
        <f>ROUND((F49-G49)*100,1)&amp; " p.p."</f>
        <v>1,2 p.p.</v>
      </c>
      <c r="I49" s="132"/>
      <c r="J49" s="109">
        <v>0.76400000000000001</v>
      </c>
      <c r="K49" s="183">
        <v>0.76500000000000001</v>
      </c>
      <c r="L49" s="137" t="str">
        <f>(J49-K49)*100&amp; " p.p."</f>
        <v>-0,1 p.p.</v>
      </c>
      <c r="M49" s="109">
        <v>0.77700000000000002</v>
      </c>
      <c r="N49" s="109">
        <v>0.76500000000000001</v>
      </c>
      <c r="O49" s="137" t="str">
        <f>(M49-N49)*100&amp; " p.p."</f>
        <v>1,2 p.p.</v>
      </c>
      <c r="P49" s="132"/>
      <c r="Q49" s="109">
        <v>0.70399999999999996</v>
      </c>
      <c r="R49" s="183">
        <v>0.72399999999999998</v>
      </c>
      <c r="S49" s="137" t="str">
        <f>(Q49-R49)*100&amp; " p.p."</f>
        <v>-2 p.p.</v>
      </c>
      <c r="T49" s="109">
        <v>0.73399999999999999</v>
      </c>
      <c r="U49" s="109">
        <v>0.72399999999999998</v>
      </c>
      <c r="V49" s="137" t="str">
        <f>(T49-U49)*100&amp; " p.p."</f>
        <v>1 p.p.</v>
      </c>
      <c r="X49" s="109">
        <v>0.53700000000000003</v>
      </c>
      <c r="Y49" s="109">
        <v>0.53900000000000003</v>
      </c>
      <c r="Z49" s="137" t="str">
        <f>(X49-Y49)*100&amp; " p.p."</f>
        <v>-0,2 p.p.</v>
      </c>
      <c r="AA49" s="109">
        <v>0.55500000000000005</v>
      </c>
      <c r="AB49" s="109">
        <v>0.54500000000000004</v>
      </c>
      <c r="AC49" s="137" t="str">
        <f>(AA49-AB49)*100&amp; " p.p."</f>
        <v>1 p.p.</v>
      </c>
    </row>
    <row r="50" spans="2:29" ht="16.5" thickTop="1" thickBot="1" x14ac:dyDescent="0.25">
      <c r="B50" s="12" t="s">
        <v>119</v>
      </c>
      <c r="C50" s="182">
        <v>180.8</v>
      </c>
      <c r="D50" s="182">
        <v>167.8</v>
      </c>
      <c r="E50" s="191">
        <f t="shared" ref="E50:E51" si="40">C50/D50-1</f>
        <v>7.7473182359952375E-2</v>
      </c>
      <c r="F50" s="192">
        <v>180.5</v>
      </c>
      <c r="G50" s="192">
        <v>167.2</v>
      </c>
      <c r="H50" s="127">
        <f t="shared" ref="H50:H51" si="41">F50/G50-1</f>
        <v>7.9545454545454586E-2</v>
      </c>
      <c r="J50" s="105">
        <v>190</v>
      </c>
      <c r="K50" s="182">
        <v>179.4</v>
      </c>
      <c r="L50" s="127">
        <f t="shared" ref="L50:L51" si="42">J50/K50-1</f>
        <v>5.9085841694537233E-2</v>
      </c>
      <c r="M50" s="128">
        <v>193.4</v>
      </c>
      <c r="N50" s="128">
        <v>179.5</v>
      </c>
      <c r="O50" s="127">
        <f t="shared" ref="O50:O51" si="43">M50/N50-1</f>
        <v>7.7437325905292509E-2</v>
      </c>
      <c r="Q50" s="105">
        <v>180.9</v>
      </c>
      <c r="R50" s="182">
        <v>171.5</v>
      </c>
      <c r="S50" s="127">
        <f t="shared" ref="S50:S51" si="44">Q50/R50-1</f>
        <v>5.4810495626822275E-2</v>
      </c>
      <c r="T50" s="128">
        <v>182.8</v>
      </c>
      <c r="U50" s="128">
        <v>171.5</v>
      </c>
      <c r="V50" s="127">
        <f t="shared" ref="V50:V51" si="45">T50/U50-1</f>
        <v>6.588921282798843E-2</v>
      </c>
      <c r="X50" s="105">
        <v>163.1</v>
      </c>
      <c r="Y50" s="105">
        <v>137.80000000000001</v>
      </c>
      <c r="Z50" s="127">
        <f t="shared" ref="Z50:Z51" si="46">X50/Y50-1</f>
        <v>0.18359941944847602</v>
      </c>
      <c r="AA50" s="128">
        <v>153.19999999999999</v>
      </c>
      <c r="AB50" s="128">
        <v>139.1</v>
      </c>
      <c r="AC50" s="127">
        <f t="shared" ref="AC50:AC51" si="47">AA50/AB50-1</f>
        <v>0.1013659237958302</v>
      </c>
    </row>
    <row r="51" spans="2:29" ht="16.5" thickTop="1" thickBot="1" x14ac:dyDescent="0.25">
      <c r="B51" s="12" t="s">
        <v>120</v>
      </c>
      <c r="C51" s="182">
        <v>121.5</v>
      </c>
      <c r="D51" s="182">
        <v>114.6</v>
      </c>
      <c r="E51" s="191">
        <f t="shared" si="40"/>
        <v>6.0209424083769614E-2</v>
      </c>
      <c r="F51" s="192">
        <v>125.7</v>
      </c>
      <c r="G51" s="192">
        <v>114.4</v>
      </c>
      <c r="H51" s="127">
        <f t="shared" si="41"/>
        <v>9.8776223776223748E-2</v>
      </c>
      <c r="J51" s="105">
        <v>145.19999999999999</v>
      </c>
      <c r="K51" s="182">
        <v>137.30000000000001</v>
      </c>
      <c r="L51" s="127">
        <f t="shared" si="42"/>
        <v>5.7538237436270734E-2</v>
      </c>
      <c r="M51" s="128">
        <v>150.4</v>
      </c>
      <c r="N51" s="128">
        <v>137.30000000000001</v>
      </c>
      <c r="O51" s="127">
        <f t="shared" si="43"/>
        <v>9.5411507647487293E-2</v>
      </c>
      <c r="Q51" s="105">
        <v>127.3</v>
      </c>
      <c r="R51" s="182">
        <v>124.2</v>
      </c>
      <c r="S51" s="127">
        <f t="shared" si="44"/>
        <v>2.4959742351046588E-2</v>
      </c>
      <c r="T51" s="128">
        <v>134.19999999999999</v>
      </c>
      <c r="U51" s="128">
        <v>124.2</v>
      </c>
      <c r="V51" s="127">
        <f t="shared" si="45"/>
        <v>8.0515297906602168E-2</v>
      </c>
      <c r="X51" s="105">
        <v>87.6</v>
      </c>
      <c r="Y51" s="105">
        <v>74.3</v>
      </c>
      <c r="Z51" s="127">
        <f t="shared" si="46"/>
        <v>0.17900403768506057</v>
      </c>
      <c r="AA51" s="128">
        <v>85</v>
      </c>
      <c r="AB51" s="128">
        <v>75.8</v>
      </c>
      <c r="AC51" s="127">
        <f t="shared" si="47"/>
        <v>0.12137203166226906</v>
      </c>
    </row>
    <row r="52" spans="2:29" ht="16.5" thickTop="1" thickBot="1" x14ac:dyDescent="0.25">
      <c r="B52" s="34" t="s">
        <v>122</v>
      </c>
      <c r="C52" s="182"/>
      <c r="D52" s="182"/>
      <c r="E52" s="137"/>
      <c r="F52" s="192"/>
      <c r="G52" s="192"/>
      <c r="H52" s="126"/>
      <c r="J52" s="105"/>
      <c r="K52" s="182"/>
      <c r="L52" s="126"/>
      <c r="M52" s="128"/>
      <c r="N52" s="128"/>
      <c r="O52" s="126"/>
      <c r="Q52" s="105"/>
      <c r="R52" s="182"/>
      <c r="S52" s="126"/>
      <c r="T52" s="128"/>
      <c r="U52" s="128"/>
      <c r="V52" s="126"/>
      <c r="X52" s="105"/>
      <c r="Y52" s="105"/>
      <c r="Z52" s="126"/>
      <c r="AA52" s="128"/>
      <c r="AB52" s="128"/>
      <c r="AC52" s="126"/>
    </row>
    <row r="53" spans="2:29" ht="16.5" thickTop="1" thickBot="1" x14ac:dyDescent="0.25">
      <c r="B53" s="12" t="s">
        <v>118</v>
      </c>
      <c r="C53" s="183">
        <v>0.624</v>
      </c>
      <c r="D53" s="183">
        <v>0.622</v>
      </c>
      <c r="E53" s="137" t="str">
        <f>(C53-D53)*100&amp; " p.p."</f>
        <v>0,2 p.p.</v>
      </c>
      <c r="F53" s="183">
        <v>0.63700000000000001</v>
      </c>
      <c r="G53" s="183">
        <v>0.63200000000000001</v>
      </c>
      <c r="H53" s="161" t="str">
        <f>ROUND((F53-G53)*100,1)&amp; " p.p."</f>
        <v>0,5 p.p.</v>
      </c>
      <c r="I53" s="132"/>
      <c r="J53" s="109">
        <v>0.68899999999999995</v>
      </c>
      <c r="K53" s="183">
        <v>0.71399999999999997</v>
      </c>
      <c r="L53" s="137" t="str">
        <f>(J53-K53)*100&amp; " p.p."</f>
        <v>-2,5 p.p.</v>
      </c>
      <c r="M53" s="109">
        <v>0.71299999999999997</v>
      </c>
      <c r="N53" s="109">
        <v>0.71399999999999997</v>
      </c>
      <c r="O53" s="161" t="str">
        <f>ROUND((M53-N53)*100,1)&amp; " p.p."</f>
        <v>-0,1 p.p.</v>
      </c>
      <c r="P53" s="132"/>
      <c r="Q53" s="109">
        <v>0.64100000000000001</v>
      </c>
      <c r="R53" s="183">
        <v>0.61599999999999999</v>
      </c>
      <c r="S53" s="137" t="str">
        <f>(Q53-R53)*100&amp; " p.p."</f>
        <v>2,5 p.p.</v>
      </c>
      <c r="T53" s="109">
        <v>0.63800000000000001</v>
      </c>
      <c r="U53" s="109">
        <v>0.629</v>
      </c>
      <c r="V53" s="161" t="str">
        <f>ROUND((T53-U53)*100,1)&amp; " p.p."</f>
        <v>0,9 p.p.</v>
      </c>
      <c r="X53" s="109">
        <v>0.53500000000000003</v>
      </c>
      <c r="Y53" s="109">
        <v>0.51900000000000002</v>
      </c>
      <c r="Z53" s="137" t="str">
        <f>(X53-Y53)*100&amp; " p.p."</f>
        <v>1,6 p.p.</v>
      </c>
      <c r="AA53" s="109">
        <v>0.54200000000000004</v>
      </c>
      <c r="AB53" s="109">
        <v>0.53600000000000003</v>
      </c>
      <c r="AC53" s="161" t="str">
        <f>ROUND((AA53-AB53)*100,1)&amp; " p.p."</f>
        <v>0,6 p.p.</v>
      </c>
    </row>
    <row r="54" spans="2:29" ht="16.5" thickTop="1" thickBot="1" x14ac:dyDescent="0.25">
      <c r="B54" s="12" t="s">
        <v>119</v>
      </c>
      <c r="C54" s="182">
        <v>292.7</v>
      </c>
      <c r="D54" s="182">
        <v>255.9</v>
      </c>
      <c r="E54" s="191">
        <f t="shared" ref="E54:E55" si="48">C54/D54-1</f>
        <v>0.14380617428683062</v>
      </c>
      <c r="F54" s="192">
        <v>275.10000000000002</v>
      </c>
      <c r="G54" s="192">
        <v>261.3</v>
      </c>
      <c r="H54" s="127">
        <f t="shared" ref="H54:H55" si="49">F54/G54-1</f>
        <v>5.2812858783008121E-2</v>
      </c>
      <c r="J54" s="105">
        <v>298.60000000000002</v>
      </c>
      <c r="K54" s="182">
        <v>276.5</v>
      </c>
      <c r="L54" s="127">
        <f t="shared" ref="L54:L55" si="50">J54/K54-1</f>
        <v>7.9927667269439562E-2</v>
      </c>
      <c r="M54" s="128">
        <v>295</v>
      </c>
      <c r="N54" s="128">
        <v>282.8</v>
      </c>
      <c r="O54" s="127">
        <f t="shared" ref="O54:O55" si="51">M54/N54-1</f>
        <v>4.314002828854302E-2</v>
      </c>
      <c r="Q54" s="105">
        <v>308</v>
      </c>
      <c r="R54" s="182">
        <v>253.4</v>
      </c>
      <c r="S54" s="127">
        <f t="shared" ref="S54:S55" si="52">Q54/R54-1</f>
        <v>0.21546961325966851</v>
      </c>
      <c r="T54" s="128">
        <v>274.2</v>
      </c>
      <c r="U54" s="128">
        <v>257.7</v>
      </c>
      <c r="V54" s="127">
        <f t="shared" ref="V54:V55" si="53">T54/U54-1</f>
        <v>6.4027939464493588E-2</v>
      </c>
      <c r="X54" s="105">
        <v>264.60000000000002</v>
      </c>
      <c r="Y54" s="105">
        <v>229.1</v>
      </c>
      <c r="Z54" s="127">
        <f t="shared" ref="Z54:Z55" si="54">X54/Y54-1</f>
        <v>0.15495416848537769</v>
      </c>
      <c r="AA54" s="128">
        <v>242.4</v>
      </c>
      <c r="AB54" s="128">
        <v>234.5</v>
      </c>
      <c r="AC54" s="127">
        <f t="shared" ref="AC54:AC55" si="55">AA54/AB54-1</f>
        <v>3.3688699360341134E-2</v>
      </c>
    </row>
    <row r="55" spans="2:29" ht="16.5" thickTop="1" thickBot="1" x14ac:dyDescent="0.25">
      <c r="B55" s="12" t="s">
        <v>120</v>
      </c>
      <c r="C55" s="182">
        <v>182.6</v>
      </c>
      <c r="D55" s="182">
        <v>159.19999999999999</v>
      </c>
      <c r="E55" s="191">
        <f t="shared" si="48"/>
        <v>0.14698492462311563</v>
      </c>
      <c r="F55" s="192">
        <v>175.1</v>
      </c>
      <c r="G55" s="192">
        <v>165.2</v>
      </c>
      <c r="H55" s="107">
        <f t="shared" si="49"/>
        <v>5.9927360774818528E-2</v>
      </c>
      <c r="J55" s="105">
        <v>205.7</v>
      </c>
      <c r="K55" s="182">
        <v>197.6</v>
      </c>
      <c r="L55" s="107">
        <f t="shared" si="50"/>
        <v>4.0991902834007998E-2</v>
      </c>
      <c r="M55" s="106">
        <v>210.3</v>
      </c>
      <c r="N55" s="106">
        <v>201.9</v>
      </c>
      <c r="O55" s="107">
        <f t="shared" si="51"/>
        <v>4.1604754829123403E-2</v>
      </c>
      <c r="Q55" s="105">
        <v>197.3</v>
      </c>
      <c r="R55" s="182">
        <v>156.19999999999999</v>
      </c>
      <c r="S55" s="107">
        <f t="shared" si="52"/>
        <v>0.26312419974391821</v>
      </c>
      <c r="T55" s="106">
        <v>174.8</v>
      </c>
      <c r="U55" s="106">
        <v>162.1</v>
      </c>
      <c r="V55" s="107">
        <f t="shared" si="53"/>
        <v>7.8346699568167866E-2</v>
      </c>
      <c r="X55" s="105">
        <v>141.69999999999999</v>
      </c>
      <c r="Y55" s="105">
        <v>118.8</v>
      </c>
      <c r="Z55" s="107">
        <f t="shared" si="54"/>
        <v>0.19276094276094269</v>
      </c>
      <c r="AA55" s="106">
        <v>131.4</v>
      </c>
      <c r="AB55" s="106">
        <v>125.6</v>
      </c>
      <c r="AC55" s="107">
        <f t="shared" si="55"/>
        <v>4.6178343949044631E-2</v>
      </c>
    </row>
    <row r="56" spans="2:29" ht="15.75" thickTop="1" x14ac:dyDescent="0.2">
      <c r="B56" s="23"/>
    </row>
    <row r="57" spans="2:29" ht="15.75" thickBot="1" x14ac:dyDescent="0.25">
      <c r="B57" s="23"/>
    </row>
    <row r="58" spans="2:29" ht="22.5" customHeight="1" thickTop="1" thickBot="1" x14ac:dyDescent="0.25">
      <c r="B58" s="227" t="s">
        <v>148</v>
      </c>
      <c r="C58" s="187" t="s">
        <v>258</v>
      </c>
      <c r="D58" s="187" t="s">
        <v>257</v>
      </c>
      <c r="E58" s="223" t="s">
        <v>164</v>
      </c>
      <c r="F58" s="187" t="s">
        <v>258</v>
      </c>
      <c r="G58" s="187" t="s">
        <v>257</v>
      </c>
      <c r="H58" s="223" t="s">
        <v>164</v>
      </c>
      <c r="J58" s="189" t="s">
        <v>255</v>
      </c>
      <c r="K58" s="189" t="s">
        <v>256</v>
      </c>
      <c r="L58" s="223" t="s">
        <v>164</v>
      </c>
      <c r="M58" s="189" t="s">
        <v>255</v>
      </c>
      <c r="N58" s="189" t="s">
        <v>256</v>
      </c>
      <c r="O58" s="223" t="s">
        <v>164</v>
      </c>
      <c r="Q58" s="173" t="s">
        <v>242</v>
      </c>
      <c r="R58" s="173" t="s">
        <v>243</v>
      </c>
      <c r="S58" s="223" t="s">
        <v>164</v>
      </c>
      <c r="T58" s="173" t="s">
        <v>242</v>
      </c>
      <c r="U58" s="173" t="s">
        <v>243</v>
      </c>
      <c r="V58" s="223" t="s">
        <v>164</v>
      </c>
      <c r="X58" s="173" t="s">
        <v>226</v>
      </c>
      <c r="Y58" s="173" t="s">
        <v>185</v>
      </c>
      <c r="Z58" s="223" t="s">
        <v>164</v>
      </c>
      <c r="AA58" s="173" t="s">
        <v>226</v>
      </c>
      <c r="AB58" s="173" t="s">
        <v>185</v>
      </c>
      <c r="AC58" s="223" t="s">
        <v>164</v>
      </c>
    </row>
    <row r="59" spans="2:29" ht="22.5" customHeight="1" thickTop="1" thickBot="1" x14ac:dyDescent="0.25">
      <c r="B59" s="228"/>
      <c r="C59" s="208" t="s">
        <v>165</v>
      </c>
      <c r="D59" s="220"/>
      <c r="E59" s="224"/>
      <c r="F59" s="208" t="s">
        <v>166</v>
      </c>
      <c r="G59" s="220"/>
      <c r="H59" s="224"/>
      <c r="J59" s="208" t="s">
        <v>165</v>
      </c>
      <c r="K59" s="220"/>
      <c r="L59" s="224"/>
      <c r="M59" s="208" t="s">
        <v>166</v>
      </c>
      <c r="N59" s="220"/>
      <c r="O59" s="224"/>
      <c r="Q59" s="208" t="s">
        <v>165</v>
      </c>
      <c r="R59" s="220"/>
      <c r="S59" s="224"/>
      <c r="T59" s="208" t="s">
        <v>166</v>
      </c>
      <c r="U59" s="220"/>
      <c r="V59" s="224"/>
      <c r="X59" s="208" t="s">
        <v>165</v>
      </c>
      <c r="Y59" s="220"/>
      <c r="Z59" s="224"/>
      <c r="AA59" s="208" t="s">
        <v>166</v>
      </c>
      <c r="AB59" s="220"/>
      <c r="AC59" s="224"/>
    </row>
    <row r="60" spans="2:29" ht="16.5" thickTop="1" thickBot="1" x14ac:dyDescent="0.25">
      <c r="B60" s="30" t="s">
        <v>100</v>
      </c>
      <c r="C60" s="31"/>
      <c r="D60" s="31"/>
      <c r="E60" s="32"/>
      <c r="F60" s="32"/>
      <c r="G60" s="32"/>
      <c r="H60" s="32"/>
      <c r="J60" s="31"/>
      <c r="K60" s="31"/>
      <c r="L60" s="32"/>
      <c r="M60" s="32"/>
      <c r="N60" s="32"/>
      <c r="O60" s="32"/>
      <c r="Q60" s="31"/>
      <c r="R60" s="31"/>
      <c r="S60" s="32"/>
      <c r="T60" s="32"/>
      <c r="U60" s="32"/>
      <c r="V60" s="32"/>
      <c r="X60" s="31"/>
      <c r="Y60" s="31"/>
      <c r="Z60" s="32"/>
      <c r="AA60" s="32"/>
      <c r="AB60" s="32"/>
      <c r="AC60" s="32"/>
    </row>
    <row r="61" spans="2:29" ht="16.5" thickTop="1" thickBot="1" x14ac:dyDescent="0.25">
      <c r="B61" s="12" t="s">
        <v>118</v>
      </c>
      <c r="C61" s="183">
        <v>0.59299999999999997</v>
      </c>
      <c r="D61" s="109">
        <v>0.57999999999999996</v>
      </c>
      <c r="E61" s="161" t="str">
        <f>ROUND((C61-D61)*100,1)&amp; " p.p."</f>
        <v>1,3 p.p.</v>
      </c>
      <c r="F61" s="183">
        <v>0.61099999999999999</v>
      </c>
      <c r="G61" s="183">
        <v>0.58899999999999997</v>
      </c>
      <c r="H61" s="161" t="str">
        <f>ROUND((F61-G61)*100,1)&amp; " p.p."</f>
        <v>2,2 p.p.</v>
      </c>
      <c r="I61" s="132"/>
      <c r="J61" s="109">
        <v>0.64300000000000002</v>
      </c>
      <c r="K61" s="109">
        <v>0.67</v>
      </c>
      <c r="L61" s="137" t="str">
        <f>(J61-K61)*100&amp; " p.p."</f>
        <v>-2,7 p.p.</v>
      </c>
      <c r="M61" s="109">
        <v>0.67300000000000004</v>
      </c>
      <c r="N61" s="109">
        <v>0.66500000000000004</v>
      </c>
      <c r="O61" s="161" t="str">
        <f>ROUND((M61-N61)*100,1)&amp; " p.p."</f>
        <v>0,8 p.p.</v>
      </c>
      <c r="P61" s="132"/>
      <c r="Q61" s="109">
        <v>0.59599999999999997</v>
      </c>
      <c r="R61" s="109">
        <v>0.57099999999999995</v>
      </c>
      <c r="S61" s="137" t="str">
        <f>(Q61-R61)*100&amp; " p.p."</f>
        <v>2,5 p.p.</v>
      </c>
      <c r="T61" s="109">
        <v>0.61099999999999999</v>
      </c>
      <c r="U61" s="109">
        <v>0.58399999999999996</v>
      </c>
      <c r="V61" s="137" t="str">
        <f>(T61-U61)*100&amp; " p.p."</f>
        <v>2,7 p.p.</v>
      </c>
      <c r="X61" s="109">
        <v>0.53400000000000003</v>
      </c>
      <c r="Y61" s="109">
        <v>0.48699999999999999</v>
      </c>
      <c r="Z61" s="137" t="str">
        <f>(X61-Y61)*100&amp; " p.p."</f>
        <v>4,7 p.p.</v>
      </c>
      <c r="AA61" s="109">
        <v>0.54200000000000004</v>
      </c>
      <c r="AB61" s="109">
        <v>0.50800000000000001</v>
      </c>
      <c r="AC61" s="137" t="str">
        <f>(AA61-AB61)*100&amp; " p.p."</f>
        <v>3,4 p.p.</v>
      </c>
    </row>
    <row r="62" spans="2:29" ht="16.5" thickTop="1" thickBot="1" x14ac:dyDescent="0.25">
      <c r="B62" s="12" t="s">
        <v>119</v>
      </c>
      <c r="C62" s="182">
        <v>190.2</v>
      </c>
      <c r="D62" s="105">
        <v>179.2</v>
      </c>
      <c r="E62" s="127">
        <f t="shared" ref="E62:E63" si="56">C62/D62-1</f>
        <v>6.1383928571428603E-2</v>
      </c>
      <c r="F62" s="196">
        <v>187.5</v>
      </c>
      <c r="G62" s="196">
        <v>179.5</v>
      </c>
      <c r="H62" s="127">
        <f t="shared" ref="H62:H63" si="57">F62/G62-1</f>
        <v>4.4568245125348183E-2</v>
      </c>
      <c r="J62" s="105">
        <v>190.4</v>
      </c>
      <c r="K62" s="105">
        <v>173</v>
      </c>
      <c r="L62" s="127">
        <f t="shared" ref="L62:L63" si="58">J62/K62-1</f>
        <v>0.10057803468208104</v>
      </c>
      <c r="M62" s="131">
        <v>181.9</v>
      </c>
      <c r="N62" s="131">
        <v>171.4</v>
      </c>
      <c r="O62" s="127">
        <f t="shared" ref="O62:O63" si="59">M62/N62-1</f>
        <v>6.1260210035005924E-2</v>
      </c>
      <c r="Q62" s="105">
        <v>186.9</v>
      </c>
      <c r="R62" s="105">
        <v>178.1</v>
      </c>
      <c r="S62" s="127">
        <f t="shared" ref="S62:S63" si="60">Q62/R62-1</f>
        <v>4.941044357102764E-2</v>
      </c>
      <c r="T62" s="131">
        <v>184.4</v>
      </c>
      <c r="U62" s="131">
        <v>178.6</v>
      </c>
      <c r="V62" s="127">
        <f t="shared" ref="V62:V63" si="61">T62/U62-1</f>
        <v>3.2474804031354942E-2</v>
      </c>
      <c r="X62" s="105">
        <v>193.8</v>
      </c>
      <c r="Y62" s="105">
        <v>190.3</v>
      </c>
      <c r="Z62" s="127">
        <f t="shared" ref="Z62:Z63" si="62">X62/Y62-1</f>
        <v>1.8392012611665898E-2</v>
      </c>
      <c r="AA62" s="131">
        <v>198.8</v>
      </c>
      <c r="AB62" s="131">
        <v>192.6</v>
      </c>
      <c r="AC62" s="127">
        <f t="shared" ref="AC62:AC63" si="63">AA62/AB62-1</f>
        <v>3.2191069574247333E-2</v>
      </c>
    </row>
    <row r="63" spans="2:29" ht="16.5" thickTop="1" thickBot="1" x14ac:dyDescent="0.25">
      <c r="B63" s="12" t="s">
        <v>120</v>
      </c>
      <c r="C63" s="182">
        <v>112.7</v>
      </c>
      <c r="D63" s="105">
        <v>103.9</v>
      </c>
      <c r="E63" s="127">
        <f t="shared" si="56"/>
        <v>8.469682386910482E-2</v>
      </c>
      <c r="F63" s="196">
        <v>114.6</v>
      </c>
      <c r="G63" s="196">
        <v>105.7</v>
      </c>
      <c r="H63" s="127">
        <f t="shared" si="57"/>
        <v>8.4200567644276081E-2</v>
      </c>
      <c r="J63" s="105">
        <v>122.3</v>
      </c>
      <c r="K63" s="182">
        <v>115.8</v>
      </c>
      <c r="L63" s="127">
        <f t="shared" si="58"/>
        <v>5.6131260794473281E-2</v>
      </c>
      <c r="M63" s="131">
        <v>122.5</v>
      </c>
      <c r="N63" s="131">
        <v>114</v>
      </c>
      <c r="O63" s="127">
        <f t="shared" si="59"/>
        <v>7.4561403508771829E-2</v>
      </c>
      <c r="Q63" s="105">
        <v>111.5</v>
      </c>
      <c r="R63" s="182">
        <v>101.7</v>
      </c>
      <c r="S63" s="127">
        <f t="shared" si="60"/>
        <v>9.6361848574237907E-2</v>
      </c>
      <c r="T63" s="131">
        <v>112.6</v>
      </c>
      <c r="U63" s="131">
        <v>104.4</v>
      </c>
      <c r="V63" s="127">
        <f t="shared" si="61"/>
        <v>7.8544061302681989E-2</v>
      </c>
      <c r="X63" s="105">
        <v>103.5</v>
      </c>
      <c r="Y63" s="105">
        <v>92.6</v>
      </c>
      <c r="Z63" s="127">
        <f t="shared" si="62"/>
        <v>0.11771058315334781</v>
      </c>
      <c r="AA63" s="131">
        <v>107.8</v>
      </c>
      <c r="AB63" s="131">
        <v>97.8</v>
      </c>
      <c r="AC63" s="127">
        <f t="shared" si="63"/>
        <v>0.10224948875255624</v>
      </c>
    </row>
    <row r="64" spans="2:29" ht="16.5" thickTop="1" thickBot="1" x14ac:dyDescent="0.25">
      <c r="B64" s="34" t="s">
        <v>101</v>
      </c>
      <c r="C64" s="182"/>
      <c r="D64" s="105"/>
      <c r="E64" s="126"/>
      <c r="F64" s="196"/>
      <c r="G64" s="196"/>
      <c r="H64" s="126"/>
      <c r="J64" s="105"/>
      <c r="K64" s="182"/>
      <c r="L64" s="126"/>
      <c r="M64" s="131"/>
      <c r="N64" s="131"/>
      <c r="O64" s="126"/>
      <c r="Q64" s="105"/>
      <c r="R64" s="182"/>
      <c r="S64" s="126"/>
      <c r="T64" s="131"/>
      <c r="U64" s="131"/>
      <c r="V64" s="126"/>
      <c r="X64" s="105"/>
      <c r="Y64" s="105"/>
      <c r="Z64" s="126"/>
      <c r="AA64" s="131"/>
      <c r="AB64" s="131"/>
      <c r="AC64" s="126"/>
    </row>
    <row r="65" spans="2:29" ht="16.5" thickTop="1" thickBot="1" x14ac:dyDescent="0.25">
      <c r="B65" s="12" t="s">
        <v>118</v>
      </c>
      <c r="C65" s="183">
        <v>0.753</v>
      </c>
      <c r="D65" s="109">
        <v>0.80600000000000005</v>
      </c>
      <c r="E65" s="161" t="str">
        <f>ROUND((C65-D65)*100,1)&amp; " p.p."</f>
        <v>-5,3 p.p.</v>
      </c>
      <c r="F65" s="183">
        <v>0.82699999999999996</v>
      </c>
      <c r="G65" s="183">
        <v>0.80600000000000005</v>
      </c>
      <c r="H65" s="161" t="str">
        <f>ROUND((F65-G65)*100,1)&amp; " p.p."</f>
        <v>2,1 p.p.</v>
      </c>
      <c r="I65" s="132"/>
      <c r="J65" s="109">
        <v>0.84199999999999997</v>
      </c>
      <c r="K65" s="183">
        <v>0.85599999999999998</v>
      </c>
      <c r="L65" s="161" t="str">
        <f>ROUND((J65-K65)*100,1)&amp; " p.p."</f>
        <v>-1,4 p.p.</v>
      </c>
      <c r="M65" s="109">
        <v>0.83699999999999997</v>
      </c>
      <c r="N65" s="109">
        <v>0.85599999999999998</v>
      </c>
      <c r="O65" s="161" t="str">
        <f>ROUND((M65-N65)*100,1)&amp; " p.p."</f>
        <v>-1,9 p.p.</v>
      </c>
      <c r="P65" s="132"/>
      <c r="Q65" s="109">
        <v>0.83199999999999996</v>
      </c>
      <c r="R65" s="183">
        <v>0.80600000000000005</v>
      </c>
      <c r="S65" s="161" t="str">
        <f>ROUND((Q65-R65)*100,1)&amp; " p.p."</f>
        <v>2,6 p.p.</v>
      </c>
      <c r="T65" s="109">
        <v>0.84799999999999998</v>
      </c>
      <c r="U65" s="109">
        <v>0.80600000000000005</v>
      </c>
      <c r="V65" s="161" t="str">
        <f>ROUND((T65-U65)*100,1)&amp; " p.p."</f>
        <v>4,2 p.p.</v>
      </c>
      <c r="X65" s="109">
        <v>0.58199999999999996</v>
      </c>
      <c r="Y65" s="109">
        <v>0.59299999999999997</v>
      </c>
      <c r="Z65" s="137" t="str">
        <f>(X65-Y65)*100&amp; " p.p."</f>
        <v>-1,1 p.p.</v>
      </c>
      <c r="AA65" s="109">
        <v>0.70399999999999996</v>
      </c>
      <c r="AB65" s="109">
        <v>0.61599999999999999</v>
      </c>
      <c r="AC65" s="137" t="str">
        <f>(AA65-AB65)*100&amp; " p.p."</f>
        <v>8,8 p.p.</v>
      </c>
    </row>
    <row r="66" spans="2:29" ht="16.5" thickTop="1" thickBot="1" x14ac:dyDescent="0.25">
      <c r="B66" s="12" t="s">
        <v>119</v>
      </c>
      <c r="C66" s="182">
        <v>418.4</v>
      </c>
      <c r="D66" s="182">
        <v>439.3</v>
      </c>
      <c r="E66" s="127">
        <f t="shared" ref="E66:E67" si="64">C66/D66-1</f>
        <v>-4.7575688595492882E-2</v>
      </c>
      <c r="F66" s="196">
        <v>441.1</v>
      </c>
      <c r="G66" s="196">
        <v>435.4</v>
      </c>
      <c r="H66" s="127">
        <f t="shared" ref="H66:H67" si="65">F66/G66-1</f>
        <v>1.3091410197519693E-2</v>
      </c>
      <c r="J66" s="105">
        <v>443.6</v>
      </c>
      <c r="K66" s="182">
        <v>478</v>
      </c>
      <c r="L66" s="127">
        <f t="shared" ref="L66:L67" si="66">J66/K66-1</f>
        <v>-7.1966527196652641E-2</v>
      </c>
      <c r="M66" s="131">
        <v>482.4</v>
      </c>
      <c r="N66" s="131">
        <v>478.3</v>
      </c>
      <c r="O66" s="127">
        <f t="shared" ref="O66:O67" si="67">M66/N66-1</f>
        <v>8.5720259251516051E-3</v>
      </c>
      <c r="Q66" s="105">
        <v>442.8</v>
      </c>
      <c r="R66" s="182">
        <v>412.9</v>
      </c>
      <c r="S66" s="127">
        <f t="shared" ref="S66:S67" si="68">Q66/R66-1</f>
        <v>7.2414628239283241E-2</v>
      </c>
      <c r="T66" s="131">
        <v>420</v>
      </c>
      <c r="U66" s="131">
        <v>412.9</v>
      </c>
      <c r="V66" s="127">
        <f t="shared" ref="V66:V67" si="69">T66/U66-1</f>
        <v>1.7195446839428419E-2</v>
      </c>
      <c r="X66" s="105">
        <v>339.9</v>
      </c>
      <c r="Y66" s="105">
        <v>223</v>
      </c>
      <c r="Z66" s="127">
        <f t="shared" ref="Z66:Z67" si="70">X66/Y66-1</f>
        <v>0.5242152466367711</v>
      </c>
      <c r="AA66" s="131">
        <v>269.89999999999998</v>
      </c>
      <c r="AB66" s="131">
        <v>289</v>
      </c>
      <c r="AC66" s="127">
        <f t="shared" ref="AC66:AC67" si="71">AA66/AB66-1</f>
        <v>-6.6089965397924E-2</v>
      </c>
    </row>
    <row r="67" spans="2:29" ht="16.5" thickTop="1" thickBot="1" x14ac:dyDescent="0.25">
      <c r="B67" s="12" t="s">
        <v>120</v>
      </c>
      <c r="C67" s="182">
        <v>315</v>
      </c>
      <c r="D67" s="182">
        <v>353.8</v>
      </c>
      <c r="E67" s="127">
        <f t="shared" si="64"/>
        <v>-0.10966647823629172</v>
      </c>
      <c r="F67" s="196">
        <v>364.8</v>
      </c>
      <c r="G67" s="196">
        <v>350.7</v>
      </c>
      <c r="H67" s="127">
        <f t="shared" si="65"/>
        <v>4.0205303678357618E-2</v>
      </c>
      <c r="J67" s="105">
        <v>373.4</v>
      </c>
      <c r="K67" s="182">
        <v>409.2</v>
      </c>
      <c r="L67" s="127">
        <f t="shared" si="66"/>
        <v>-8.7487781036168166E-2</v>
      </c>
      <c r="M67" s="131">
        <v>403.8</v>
      </c>
      <c r="N67" s="131">
        <v>409.4</v>
      </c>
      <c r="O67" s="127">
        <f t="shared" si="67"/>
        <v>-1.3678553981436137E-2</v>
      </c>
      <c r="Q67" s="105">
        <v>368.5</v>
      </c>
      <c r="R67" s="182">
        <v>332.7</v>
      </c>
      <c r="S67" s="127">
        <f t="shared" si="68"/>
        <v>0.10760444845205885</v>
      </c>
      <c r="T67" s="131">
        <v>355.9</v>
      </c>
      <c r="U67" s="131">
        <v>332.7</v>
      </c>
      <c r="V67" s="127">
        <f t="shared" si="69"/>
        <v>6.9732491734295188E-2</v>
      </c>
      <c r="X67" s="105">
        <v>197.7</v>
      </c>
      <c r="Y67" s="105">
        <v>132.19999999999999</v>
      </c>
      <c r="Z67" s="127">
        <f t="shared" si="70"/>
        <v>0.4954614220877458</v>
      </c>
      <c r="AA67" s="131">
        <v>190.1</v>
      </c>
      <c r="AB67" s="131">
        <v>178.1</v>
      </c>
      <c r="AC67" s="127">
        <f t="shared" si="71"/>
        <v>6.7377877596855651E-2</v>
      </c>
    </row>
    <row r="68" spans="2:29" ht="16.5" thickTop="1" thickBot="1" x14ac:dyDescent="0.25">
      <c r="B68" s="34" t="s">
        <v>102</v>
      </c>
      <c r="C68" s="182"/>
      <c r="D68" s="182"/>
      <c r="E68" s="137"/>
      <c r="F68" s="196"/>
      <c r="G68" s="196"/>
      <c r="H68" s="137"/>
      <c r="J68" s="105"/>
      <c r="K68" s="182"/>
      <c r="L68" s="126"/>
      <c r="M68" s="131"/>
      <c r="N68" s="131"/>
      <c r="O68" s="126"/>
      <c r="Q68" s="105"/>
      <c r="R68" s="182"/>
      <c r="S68" s="126"/>
      <c r="T68" s="131"/>
      <c r="U68" s="131"/>
      <c r="V68" s="126"/>
      <c r="X68" s="105"/>
      <c r="Y68" s="105"/>
      <c r="Z68" s="126"/>
      <c r="AA68" s="131"/>
      <c r="AB68" s="131"/>
      <c r="AC68" s="126"/>
    </row>
    <row r="69" spans="2:29" ht="16.5" thickTop="1" thickBot="1" x14ac:dyDescent="0.25">
      <c r="B69" s="12" t="s">
        <v>118</v>
      </c>
      <c r="C69" s="183">
        <v>0.55300000000000005</v>
      </c>
      <c r="D69" s="183">
        <v>0.60699999999999998</v>
      </c>
      <c r="E69" s="161" t="str">
        <f>ROUND((C69-D69)*100,1)&amp; " p.p."</f>
        <v>-5,4 p.p.</v>
      </c>
      <c r="F69" s="184">
        <v>0.58599999999999997</v>
      </c>
      <c r="G69" s="184">
        <v>0.71499999999999997</v>
      </c>
      <c r="H69" s="161" t="str">
        <f>ROUND((F69-G69)*100,1)&amp; " p.p."</f>
        <v>-12,9 p.p.</v>
      </c>
      <c r="I69" s="132"/>
      <c r="J69" s="109">
        <v>0.60399999999999998</v>
      </c>
      <c r="K69" s="184">
        <v>0.74</v>
      </c>
      <c r="L69" s="161" t="str">
        <f>ROUND((J69-K69)*100,1)&amp; " p.p."</f>
        <v>-13,6 p.p.</v>
      </c>
      <c r="M69" s="166">
        <v>0.58599999999999997</v>
      </c>
      <c r="N69" s="166">
        <v>0.71499999999999997</v>
      </c>
      <c r="O69" s="161" t="str">
        <f>ROUND((M69-N69)*100,1)&amp; " p.p."</f>
        <v>-12,9 p.p.</v>
      </c>
      <c r="P69" s="132"/>
      <c r="Q69" s="109">
        <v>0.67600000000000005</v>
      </c>
      <c r="R69" s="184" t="s">
        <v>233</v>
      </c>
      <c r="S69" s="166" t="s">
        <v>233</v>
      </c>
      <c r="T69" s="166" t="s">
        <v>233</v>
      </c>
      <c r="U69" s="166" t="s">
        <v>233</v>
      </c>
      <c r="V69" s="166" t="s">
        <v>233</v>
      </c>
      <c r="X69" s="109">
        <v>0.375</v>
      </c>
      <c r="Y69" s="109">
        <v>0.47599999999999998</v>
      </c>
      <c r="Z69" s="137" t="str">
        <f>(X69-Y69)*100&amp; " p.p."</f>
        <v>-10,1 p.p.</v>
      </c>
      <c r="AA69" s="166" t="s">
        <v>233</v>
      </c>
      <c r="AB69" s="166" t="s">
        <v>233</v>
      </c>
      <c r="AC69" s="166" t="s">
        <v>233</v>
      </c>
    </row>
    <row r="70" spans="2:29" ht="16.5" thickTop="1" thickBot="1" x14ac:dyDescent="0.25">
      <c r="B70" s="12" t="s">
        <v>119</v>
      </c>
      <c r="C70" s="182">
        <v>173.9</v>
      </c>
      <c r="D70" s="182">
        <v>164.6</v>
      </c>
      <c r="E70" s="191">
        <f t="shared" ref="E70" si="72">C70/D70-1</f>
        <v>5.650060753341446E-2</v>
      </c>
      <c r="F70" s="182">
        <v>175.9</v>
      </c>
      <c r="G70" s="182">
        <v>152.30000000000001</v>
      </c>
      <c r="H70" s="127">
        <f t="shared" ref="H70" si="73">F70/G70-1</f>
        <v>0.15495732107682203</v>
      </c>
      <c r="J70" s="105">
        <v>97.4</v>
      </c>
      <c r="K70" s="105">
        <v>164.2</v>
      </c>
      <c r="L70" s="127">
        <f t="shared" ref="L70:L71" si="74">J70/K70-1</f>
        <v>-0.40682095006090124</v>
      </c>
      <c r="M70" s="105">
        <v>177.1</v>
      </c>
      <c r="N70" s="105">
        <v>152.9</v>
      </c>
      <c r="O70" s="127">
        <f t="shared" ref="O70:O71" si="75">M70/N70-1</f>
        <v>0.15827338129496393</v>
      </c>
      <c r="Q70" s="105">
        <v>149.5</v>
      </c>
      <c r="R70" s="105" t="s">
        <v>233</v>
      </c>
      <c r="S70" s="105" t="s">
        <v>233</v>
      </c>
      <c r="T70" s="105" t="s">
        <v>233</v>
      </c>
      <c r="U70" s="105" t="s">
        <v>233</v>
      </c>
      <c r="V70" s="166" t="s">
        <v>233</v>
      </c>
      <c r="X70" s="105">
        <v>210</v>
      </c>
      <c r="Y70" s="105">
        <v>164.8</v>
      </c>
      <c r="Z70" s="127">
        <f t="shared" ref="Z70" si="76">X70/Y70-1</f>
        <v>0.27427184466019416</v>
      </c>
      <c r="AA70" s="166" t="s">
        <v>233</v>
      </c>
      <c r="AB70" s="166" t="s">
        <v>233</v>
      </c>
      <c r="AC70" s="166" t="s">
        <v>233</v>
      </c>
    </row>
    <row r="71" spans="2:29" ht="16.5" thickTop="1" thickBot="1" x14ac:dyDescent="0.25">
      <c r="B71" s="12" t="s">
        <v>120</v>
      </c>
      <c r="C71" s="182">
        <v>96.1</v>
      </c>
      <c r="D71" s="182">
        <v>99.9</v>
      </c>
      <c r="E71" s="191">
        <f>C71/D71-1</f>
        <v>-3.803803803803818E-2</v>
      </c>
      <c r="F71" s="182">
        <v>103.1</v>
      </c>
      <c r="G71" s="182">
        <v>109</v>
      </c>
      <c r="H71" s="127">
        <f>F71/G71-1</f>
        <v>-5.4128440366972508E-2</v>
      </c>
      <c r="J71" s="105">
        <v>58.9</v>
      </c>
      <c r="K71" s="105">
        <v>121.4</v>
      </c>
      <c r="L71" s="127">
        <f t="shared" si="74"/>
        <v>-0.51482701812191101</v>
      </c>
      <c r="M71" s="105">
        <v>103.9</v>
      </c>
      <c r="N71" s="105">
        <v>109.4</v>
      </c>
      <c r="O71" s="127">
        <f t="shared" si="75"/>
        <v>-5.0274223034734944E-2</v>
      </c>
      <c r="Q71" s="105">
        <v>101.1</v>
      </c>
      <c r="R71" s="105" t="s">
        <v>233</v>
      </c>
      <c r="S71" s="105" t="s">
        <v>233</v>
      </c>
      <c r="T71" s="105" t="s">
        <v>233</v>
      </c>
      <c r="U71" s="105" t="s">
        <v>233</v>
      </c>
      <c r="V71" s="166" t="s">
        <v>233</v>
      </c>
      <c r="X71" s="105">
        <v>78.8</v>
      </c>
      <c r="Y71" s="105">
        <v>78.5</v>
      </c>
      <c r="Z71" s="127">
        <f>X71/Y71-1</f>
        <v>3.8216560509554132E-3</v>
      </c>
      <c r="AA71" s="166" t="s">
        <v>233</v>
      </c>
      <c r="AB71" s="166" t="s">
        <v>233</v>
      </c>
      <c r="AC71" s="166" t="s">
        <v>233</v>
      </c>
    </row>
    <row r="72" spans="2:29" ht="16.5" thickTop="1" thickBot="1" x14ac:dyDescent="0.25">
      <c r="B72" s="34" t="s">
        <v>103</v>
      </c>
      <c r="C72" s="182"/>
      <c r="D72" s="182"/>
      <c r="E72" s="137"/>
      <c r="F72" s="196"/>
      <c r="G72" s="196"/>
      <c r="H72" s="126"/>
      <c r="J72" s="105"/>
      <c r="K72" s="105"/>
      <c r="L72" s="126"/>
      <c r="M72" s="131"/>
      <c r="N72" s="131"/>
      <c r="O72" s="126"/>
      <c r="Q72" s="105"/>
      <c r="R72" s="105"/>
      <c r="S72" s="126"/>
      <c r="T72" s="131"/>
      <c r="U72" s="131"/>
      <c r="V72" s="126"/>
      <c r="X72" s="105"/>
      <c r="Y72" s="105"/>
      <c r="Z72" s="126"/>
      <c r="AA72" s="131"/>
      <c r="AB72" s="131"/>
      <c r="AC72" s="126"/>
    </row>
    <row r="73" spans="2:29" ht="16.5" thickTop="1" thickBot="1" x14ac:dyDescent="0.25">
      <c r="B73" s="12" t="s">
        <v>118</v>
      </c>
      <c r="C73" s="183">
        <v>0.68</v>
      </c>
      <c r="D73" s="183">
        <v>0.69599999999999995</v>
      </c>
      <c r="E73" s="161" t="str">
        <f>ROUND((C73-D73)*100,1)&amp; " p.p."</f>
        <v>-1,6 p.p.</v>
      </c>
      <c r="F73" s="183">
        <v>0.69099999999999995</v>
      </c>
      <c r="G73" s="183">
        <v>0.69699999999999995</v>
      </c>
      <c r="H73" s="161" t="str">
        <f>ROUND((F73-G73)*100,1)&amp; " p.p."</f>
        <v>-0,6 p.p.</v>
      </c>
      <c r="I73" s="132"/>
      <c r="J73" s="109">
        <v>0.78400000000000003</v>
      </c>
      <c r="K73" s="109">
        <v>0.77900000000000003</v>
      </c>
      <c r="L73" s="161" t="str">
        <f>ROUND((J73-K73)*100,1)&amp; " p.p."</f>
        <v>0,5 p.p.</v>
      </c>
      <c r="M73" s="109">
        <v>0.78900000000000003</v>
      </c>
      <c r="N73" s="109">
        <v>0.77900000000000003</v>
      </c>
      <c r="O73" s="161" t="s">
        <v>273</v>
      </c>
      <c r="P73" s="132"/>
      <c r="Q73" s="109">
        <v>0.70699999999999996</v>
      </c>
      <c r="R73" s="109">
        <v>0.73799999999999999</v>
      </c>
      <c r="S73" s="161" t="str">
        <f>ROUND((Q73-R73)*100,1)&amp; " p.p."</f>
        <v>-3,1 p.p.</v>
      </c>
      <c r="T73" s="109">
        <v>0.72799999999999998</v>
      </c>
      <c r="U73" s="109">
        <v>0.73899999999999999</v>
      </c>
      <c r="V73" s="161" t="str">
        <f>ROUND((T73-U73)*100,1)&amp; " p.p."</f>
        <v>-1,1 p.p.</v>
      </c>
      <c r="X73" s="109">
        <v>0.53300000000000003</v>
      </c>
      <c r="Y73" s="109">
        <v>0.56299999999999994</v>
      </c>
      <c r="Z73" s="161" t="str">
        <f>ROUND((X73-Y73)*100,1)&amp; " p.p."</f>
        <v>-3 p.p.</v>
      </c>
      <c r="AA73" s="109">
        <v>0.54700000000000004</v>
      </c>
      <c r="AB73" s="109">
        <v>0.56399999999999995</v>
      </c>
      <c r="AC73" s="161" t="str">
        <f>ROUND((AA73-AB73)*100,1)&amp; " p.p."</f>
        <v>-1,7 p.p.</v>
      </c>
    </row>
    <row r="74" spans="2:29" ht="16.5" thickTop="1" thickBot="1" x14ac:dyDescent="0.25">
      <c r="B74" s="12" t="s">
        <v>119</v>
      </c>
      <c r="C74" s="182">
        <v>218.6</v>
      </c>
      <c r="D74" s="182">
        <v>201.9</v>
      </c>
      <c r="E74" s="191">
        <f t="shared" ref="E74:E75" si="77">C74/D74-1</f>
        <v>8.2714214957899879E-2</v>
      </c>
      <c r="F74" s="196">
        <v>220.1</v>
      </c>
      <c r="G74" s="196">
        <v>202</v>
      </c>
      <c r="H74" s="127">
        <f t="shared" ref="H74:H75" si="78">F74/G74-1</f>
        <v>8.9603960396039684E-2</v>
      </c>
      <c r="J74" s="105">
        <v>229.6</v>
      </c>
      <c r="K74" s="105">
        <v>215.7</v>
      </c>
      <c r="L74" s="127">
        <f t="shared" ref="L74:L75" si="79">J74/K74-1</f>
        <v>6.4441353732035189E-2</v>
      </c>
      <c r="M74" s="131">
        <v>233.6</v>
      </c>
      <c r="N74" s="131">
        <v>215.7</v>
      </c>
      <c r="O74" s="127">
        <f t="shared" ref="O74:O75" si="80">M74/N74-1</f>
        <v>8.2985628187297156E-2</v>
      </c>
      <c r="Q74" s="105">
        <v>223.8</v>
      </c>
      <c r="R74" s="105">
        <v>206.3</v>
      </c>
      <c r="S74" s="127">
        <f t="shared" ref="S74:S75" si="81">Q74/R74-1</f>
        <v>8.4827920504120247E-2</v>
      </c>
      <c r="T74" s="131">
        <v>224.8</v>
      </c>
      <c r="U74" s="131">
        <v>205.5</v>
      </c>
      <c r="V74" s="127">
        <f t="shared" ref="V74:V75" si="82">T74/U74-1</f>
        <v>9.391727493917279E-2</v>
      </c>
      <c r="X74" s="105">
        <v>193.9</v>
      </c>
      <c r="Y74" s="105">
        <v>178.6</v>
      </c>
      <c r="Z74" s="127">
        <f t="shared" ref="Z74:Z75" si="83">X74/Y74-1</f>
        <v>8.5666293393057202E-2</v>
      </c>
      <c r="AA74" s="131">
        <v>193.3</v>
      </c>
      <c r="AB74" s="131">
        <v>178.8</v>
      </c>
      <c r="AC74" s="127">
        <f t="shared" ref="AC74:AC75" si="84">AA74/AB74-1</f>
        <v>8.1096196868008841E-2</v>
      </c>
    </row>
    <row r="75" spans="2:29" ht="16.5" thickTop="1" thickBot="1" x14ac:dyDescent="0.25">
      <c r="B75" s="12" t="s">
        <v>120</v>
      </c>
      <c r="C75" s="182">
        <v>148.5</v>
      </c>
      <c r="D75" s="182">
        <v>140.6</v>
      </c>
      <c r="E75" s="191">
        <f t="shared" si="77"/>
        <v>5.6187766714082654E-2</v>
      </c>
      <c r="F75" s="196">
        <v>152.19999999999999</v>
      </c>
      <c r="G75" s="196">
        <v>140.80000000000001</v>
      </c>
      <c r="H75" s="107">
        <f t="shared" si="78"/>
        <v>8.096590909090895E-2</v>
      </c>
      <c r="J75" s="105">
        <v>180</v>
      </c>
      <c r="K75" s="105">
        <v>167.9</v>
      </c>
      <c r="L75" s="107">
        <f t="shared" si="79"/>
        <v>7.206670637284085E-2</v>
      </c>
      <c r="M75" s="108">
        <v>184.4</v>
      </c>
      <c r="N75" s="108">
        <v>168</v>
      </c>
      <c r="O75" s="107">
        <f t="shared" si="80"/>
        <v>9.7619047619047716E-2</v>
      </c>
      <c r="Q75" s="105">
        <v>158.1</v>
      </c>
      <c r="R75" s="105">
        <v>152.1</v>
      </c>
      <c r="S75" s="107">
        <f t="shared" si="81"/>
        <v>3.9447731755424043E-2</v>
      </c>
      <c r="T75" s="108">
        <v>163.69999999999999</v>
      </c>
      <c r="U75" s="108">
        <v>151.9</v>
      </c>
      <c r="V75" s="107">
        <f t="shared" si="82"/>
        <v>7.7682685977616739E-2</v>
      </c>
      <c r="X75" s="105">
        <v>103.4</v>
      </c>
      <c r="Y75" s="105">
        <v>100.6</v>
      </c>
      <c r="Z75" s="107">
        <f t="shared" si="83"/>
        <v>2.7833001988071704E-2</v>
      </c>
      <c r="AA75" s="108">
        <v>105.7</v>
      </c>
      <c r="AB75" s="108">
        <v>100.9</v>
      </c>
      <c r="AC75" s="107">
        <f t="shared" si="84"/>
        <v>4.7571853320118818E-2</v>
      </c>
    </row>
    <row r="76" spans="2:29" ht="15.75" thickTop="1" x14ac:dyDescent="0.2">
      <c r="B76" s="23"/>
    </row>
    <row r="77" spans="2:29" x14ac:dyDescent="0.2">
      <c r="B77" s="23"/>
      <c r="D77" s="149"/>
    </row>
    <row r="78" spans="2:29" x14ac:dyDescent="0.2">
      <c r="B78" s="2"/>
    </row>
    <row r="79" spans="2:29" x14ac:dyDescent="0.2">
      <c r="B79" s="23"/>
    </row>
    <row r="80" spans="2:29" x14ac:dyDescent="0.2">
      <c r="B80" s="35"/>
    </row>
    <row r="81" spans="2:2" x14ac:dyDescent="0.2">
      <c r="B81" s="23"/>
    </row>
    <row r="82" spans="2:2" x14ac:dyDescent="0.2">
      <c r="B82" s="23"/>
    </row>
    <row r="83" spans="2:2" x14ac:dyDescent="0.2">
      <c r="B83" s="23"/>
    </row>
    <row r="84" spans="2:2" x14ac:dyDescent="0.2">
      <c r="B84" s="23"/>
    </row>
  </sheetData>
  <mergeCells count="68">
    <mergeCell ref="Z42:Z43"/>
    <mergeCell ref="AC42:AC43"/>
    <mergeCell ref="X43:Y43"/>
    <mergeCell ref="AA43:AB43"/>
    <mergeCell ref="Z58:Z59"/>
    <mergeCell ref="AC58:AC59"/>
    <mergeCell ref="X59:Y59"/>
    <mergeCell ref="AA59:AB59"/>
    <mergeCell ref="Z4:Z5"/>
    <mergeCell ref="AC4:AC5"/>
    <mergeCell ref="X5:Y5"/>
    <mergeCell ref="AA5:AB5"/>
    <mergeCell ref="Z20:Z21"/>
    <mergeCell ref="AC20:AC21"/>
    <mergeCell ref="X21:Y21"/>
    <mergeCell ref="AA21:AB21"/>
    <mergeCell ref="S42:S43"/>
    <mergeCell ref="V42:V43"/>
    <mergeCell ref="Q43:R43"/>
    <mergeCell ref="T43:U43"/>
    <mergeCell ref="S58:S59"/>
    <mergeCell ref="V58:V59"/>
    <mergeCell ref="Q59:R59"/>
    <mergeCell ref="T59:U59"/>
    <mergeCell ref="S4:S5"/>
    <mergeCell ref="V4:V5"/>
    <mergeCell ref="Q5:R5"/>
    <mergeCell ref="T5:U5"/>
    <mergeCell ref="S20:S21"/>
    <mergeCell ref="V20:V21"/>
    <mergeCell ref="Q21:R21"/>
    <mergeCell ref="T21:U21"/>
    <mergeCell ref="H42:H43"/>
    <mergeCell ref="C43:D43"/>
    <mergeCell ref="F43:G43"/>
    <mergeCell ref="E58:E59"/>
    <mergeCell ref="H58:H59"/>
    <mergeCell ref="C59:D59"/>
    <mergeCell ref="F59:G59"/>
    <mergeCell ref="H4:H5"/>
    <mergeCell ref="C5:D5"/>
    <mergeCell ref="F5:G5"/>
    <mergeCell ref="E20:E21"/>
    <mergeCell ref="H20:H21"/>
    <mergeCell ref="C21:D21"/>
    <mergeCell ref="F21:G21"/>
    <mergeCell ref="B4:B5"/>
    <mergeCell ref="B20:B21"/>
    <mergeCell ref="B42:B43"/>
    <mergeCell ref="B58:B59"/>
    <mergeCell ref="E4:E5"/>
    <mergeCell ref="E42:E43"/>
    <mergeCell ref="L4:L5"/>
    <mergeCell ref="O4:O5"/>
    <mergeCell ref="J5:K5"/>
    <mergeCell ref="M5:N5"/>
    <mergeCell ref="L20:L21"/>
    <mergeCell ref="O20:O21"/>
    <mergeCell ref="J21:K21"/>
    <mergeCell ref="M21:N21"/>
    <mergeCell ref="L42:L43"/>
    <mergeCell ref="O42:O43"/>
    <mergeCell ref="J43:K43"/>
    <mergeCell ref="M43:N43"/>
    <mergeCell ref="L58:L59"/>
    <mergeCell ref="O58:O59"/>
    <mergeCell ref="J59:K59"/>
    <mergeCell ref="M59:N59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51" orientation="portrait" horizontalDpi="4294967292" verticalDpi="4294967292" r:id="rId1"/>
  <rowBreaks count="1" manualBreakCount="1">
    <brk id="41" min="1" max="22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G16"/>
  <sheetViews>
    <sheetView showGridLines="0"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7" width="14.875" style="2" customWidth="1"/>
    <col min="8" max="16384" width="10.875" style="2"/>
  </cols>
  <sheetData>
    <row r="1" spans="1:7" ht="15.75" x14ac:dyDescent="0.25">
      <c r="A1" s="9" t="s">
        <v>8</v>
      </c>
    </row>
    <row r="2" spans="1:7" ht="15.75" x14ac:dyDescent="0.25">
      <c r="A2" s="9"/>
    </row>
    <row r="3" spans="1:7" ht="18.75" thickBot="1" x14ac:dyDescent="0.3">
      <c r="A3" s="9"/>
      <c r="B3" s="110" t="s">
        <v>115</v>
      </c>
    </row>
    <row r="4" spans="1:7" ht="15.75" customHeight="1" thickTop="1" x14ac:dyDescent="0.2">
      <c r="B4" s="225"/>
      <c r="C4" s="146"/>
      <c r="D4" s="157"/>
      <c r="E4" s="157"/>
      <c r="F4" s="157"/>
      <c r="G4" s="223" t="s">
        <v>272</v>
      </c>
    </row>
    <row r="5" spans="1:7" x14ac:dyDescent="0.2">
      <c r="B5" s="229"/>
      <c r="C5" s="147" t="s">
        <v>270</v>
      </c>
      <c r="D5" s="158" t="s">
        <v>275</v>
      </c>
      <c r="E5" s="158" t="s">
        <v>234</v>
      </c>
      <c r="F5" s="158" t="s">
        <v>271</v>
      </c>
      <c r="G5" s="230"/>
    </row>
    <row r="6" spans="1:7" ht="15.75" thickBot="1" x14ac:dyDescent="0.25">
      <c r="B6" s="226"/>
      <c r="C6" s="148"/>
      <c r="D6" s="159"/>
      <c r="E6" s="159"/>
      <c r="F6" s="159"/>
      <c r="G6" s="224"/>
    </row>
    <row r="7" spans="1:7" ht="16.5" thickTop="1" thickBot="1" x14ac:dyDescent="0.25">
      <c r="B7" s="30" t="s">
        <v>109</v>
      </c>
      <c r="C7" s="36">
        <f t="shared" ref="C7:E7" si="0">SUM(C8:C10)</f>
        <v>138</v>
      </c>
      <c r="D7" s="36">
        <f t="shared" ref="D7" si="1">SUM(D8:D10)</f>
        <v>136</v>
      </c>
      <c r="E7" s="36">
        <f t="shared" si="0"/>
        <v>133</v>
      </c>
      <c r="F7" s="36">
        <f t="shared" ref="F7" si="2">SUM(F8:F10)</f>
        <v>129</v>
      </c>
      <c r="G7" s="37">
        <f>C7/F7-1</f>
        <v>6.9767441860465018E-2</v>
      </c>
    </row>
    <row r="8" spans="1:7" ht="16.5" thickTop="1" thickBot="1" x14ac:dyDescent="0.25">
      <c r="B8" s="12" t="s">
        <v>110</v>
      </c>
      <c r="C8" s="152">
        <v>73</v>
      </c>
      <c r="D8" s="152">
        <v>72</v>
      </c>
      <c r="E8" s="38">
        <v>73</v>
      </c>
      <c r="F8" s="152">
        <v>71</v>
      </c>
      <c r="G8" s="33">
        <f>C8/F8-1</f>
        <v>2.8169014084507005E-2</v>
      </c>
    </row>
    <row r="9" spans="1:7" ht="16.5" thickTop="1" thickBot="1" x14ac:dyDescent="0.25">
      <c r="B9" s="12" t="s">
        <v>111</v>
      </c>
      <c r="C9" s="152">
        <v>21</v>
      </c>
      <c r="D9" s="152">
        <v>19</v>
      </c>
      <c r="E9" s="38">
        <v>18</v>
      </c>
      <c r="F9" s="152">
        <v>17</v>
      </c>
      <c r="G9" s="33">
        <f>C9/F9-1</f>
        <v>0.23529411764705888</v>
      </c>
    </row>
    <row r="10" spans="1:7" ht="16.5" thickTop="1" thickBot="1" x14ac:dyDescent="0.25">
      <c r="B10" s="12" t="s">
        <v>112</v>
      </c>
      <c r="C10" s="152">
        <v>44</v>
      </c>
      <c r="D10" s="152">
        <v>45</v>
      </c>
      <c r="E10" s="38">
        <v>42</v>
      </c>
      <c r="F10" s="152">
        <v>41</v>
      </c>
      <c r="G10" s="33">
        <f>C10/F10-1</f>
        <v>7.3170731707317138E-2</v>
      </c>
    </row>
    <row r="11" spans="1:7" ht="16.5" thickTop="1" thickBot="1" x14ac:dyDescent="0.25">
      <c r="B11" s="12"/>
      <c r="C11" s="38"/>
      <c r="D11" s="38"/>
      <c r="E11" s="38"/>
      <c r="F11" s="38"/>
      <c r="G11" s="39"/>
    </row>
    <row r="12" spans="1:7" ht="16.5" thickTop="1" thickBot="1" x14ac:dyDescent="0.25">
      <c r="B12" s="34" t="s">
        <v>113</v>
      </c>
      <c r="C12" s="40">
        <f t="shared" ref="C12:E12" si="3">SUM(C13:C15)</f>
        <v>22125</v>
      </c>
      <c r="D12" s="40">
        <f t="shared" ref="D12" si="4">SUM(D13:D15)</f>
        <v>21931</v>
      </c>
      <c r="E12" s="40">
        <f t="shared" si="3"/>
        <v>21675</v>
      </c>
      <c r="F12" s="40">
        <f t="shared" ref="F12" si="5">SUM(F13:F15)</f>
        <v>21196</v>
      </c>
      <c r="G12" s="37">
        <f>C12/F12-1</f>
        <v>4.3829024344215872E-2</v>
      </c>
    </row>
    <row r="13" spans="1:7" ht="16.5" thickTop="1" thickBot="1" x14ac:dyDescent="0.25">
      <c r="B13" s="12" t="s">
        <v>110</v>
      </c>
      <c r="C13" s="151">
        <v>14142</v>
      </c>
      <c r="D13" s="151">
        <v>14132</v>
      </c>
      <c r="E13" s="41">
        <v>14385</v>
      </c>
      <c r="F13" s="151">
        <v>14016</v>
      </c>
      <c r="G13" s="33">
        <f>C13/F13-1</f>
        <v>8.9897260273972268E-3</v>
      </c>
    </row>
    <row r="14" spans="1:7" ht="16.5" thickTop="1" thickBot="1" x14ac:dyDescent="0.25">
      <c r="B14" s="12" t="s">
        <v>111</v>
      </c>
      <c r="C14" s="151">
        <v>3138</v>
      </c>
      <c r="D14" s="151">
        <v>2864</v>
      </c>
      <c r="E14" s="41">
        <v>2658</v>
      </c>
      <c r="F14" s="151">
        <v>2544</v>
      </c>
      <c r="G14" s="33">
        <f>C14/F14-1</f>
        <v>0.23349056603773577</v>
      </c>
    </row>
    <row r="15" spans="1:7" ht="16.5" thickTop="1" thickBot="1" x14ac:dyDescent="0.25">
      <c r="B15" s="12" t="s">
        <v>112</v>
      </c>
      <c r="C15" s="151">
        <v>4845</v>
      </c>
      <c r="D15" s="151">
        <v>4935</v>
      </c>
      <c r="E15" s="41">
        <v>4632</v>
      </c>
      <c r="F15" s="151">
        <v>4636</v>
      </c>
      <c r="G15" s="33">
        <f>C15/F15-1</f>
        <v>4.508196721311486E-2</v>
      </c>
    </row>
    <row r="16" spans="1:7" ht="15.75" thickTop="1" x14ac:dyDescent="0.2">
      <c r="B16" s="23"/>
      <c r="C16" s="28"/>
      <c r="D16" s="28"/>
      <c r="E16" s="28"/>
      <c r="F16" s="28"/>
      <c r="G16" s="28"/>
    </row>
  </sheetData>
  <mergeCells count="2">
    <mergeCell ref="B4:B6"/>
    <mergeCell ref="G4:G6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96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8"/>
  <sheetViews>
    <sheetView showGridLines="0"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5" ht="15.75" x14ac:dyDescent="0.25">
      <c r="A1" s="9" t="s">
        <v>8</v>
      </c>
    </row>
    <row r="2" spans="1:5" ht="15.75" x14ac:dyDescent="0.25">
      <c r="A2" s="9"/>
    </row>
    <row r="3" spans="1:5" ht="18" x14ac:dyDescent="0.25">
      <c r="A3" s="9"/>
      <c r="B3" s="19" t="s">
        <v>123</v>
      </c>
    </row>
    <row r="4" spans="1:5" x14ac:dyDescent="0.2">
      <c r="B4" s="231" t="s">
        <v>258</v>
      </c>
      <c r="C4" s="232" t="s">
        <v>124</v>
      </c>
      <c r="D4" s="232" t="s">
        <v>125</v>
      </c>
    </row>
    <row r="5" spans="1:5" ht="15.75" thickBot="1" x14ac:dyDescent="0.25">
      <c r="B5" s="207"/>
      <c r="C5" s="233"/>
      <c r="D5" s="233"/>
    </row>
    <row r="6" spans="1:5" ht="16.5" thickTop="1" thickBot="1" x14ac:dyDescent="0.25">
      <c r="B6" s="29" t="s">
        <v>126</v>
      </c>
      <c r="C6" s="235">
        <v>0.54600000000000004</v>
      </c>
      <c r="D6" s="235">
        <v>0.45400000000000001</v>
      </c>
      <c r="E6" s="132"/>
    </row>
    <row r="7" spans="1:5" ht="16.5" thickTop="1" thickBot="1" x14ac:dyDescent="0.25">
      <c r="B7" s="12" t="s">
        <v>100</v>
      </c>
      <c r="C7" s="235">
        <v>0.59499999999999997</v>
      </c>
      <c r="D7" s="235">
        <v>0.40500000000000003</v>
      </c>
      <c r="E7" s="132"/>
    </row>
    <row r="8" spans="1:5" ht="15.75" thickTop="1" x14ac:dyDescent="0.2">
      <c r="B8" s="35" t="s">
        <v>101</v>
      </c>
      <c r="C8" s="235">
        <v>0.439</v>
      </c>
      <c r="D8" s="235">
        <v>0.56100000000000005</v>
      </c>
      <c r="E8" s="132"/>
    </row>
    <row r="9" spans="1:5" x14ac:dyDescent="0.2">
      <c r="B9" s="35" t="s">
        <v>102</v>
      </c>
      <c r="C9" s="235">
        <v>0.40100000000000002</v>
      </c>
      <c r="D9" s="235">
        <v>0.59899999999999998</v>
      </c>
      <c r="E9" s="132"/>
    </row>
    <row r="10" spans="1:5" x14ac:dyDescent="0.2">
      <c r="B10" s="23" t="s">
        <v>103</v>
      </c>
      <c r="C10" s="235">
        <v>0.56699999999999995</v>
      </c>
      <c r="D10" s="235">
        <v>0.433</v>
      </c>
      <c r="E10" s="132"/>
    </row>
    <row r="12" spans="1:5" x14ac:dyDescent="0.2">
      <c r="B12" s="231" t="s">
        <v>257</v>
      </c>
      <c r="C12" s="232" t="s">
        <v>124</v>
      </c>
      <c r="D12" s="232" t="s">
        <v>125</v>
      </c>
    </row>
    <row r="13" spans="1:5" ht="15.75" thickBot="1" x14ac:dyDescent="0.25">
      <c r="B13" s="207"/>
      <c r="C13" s="233"/>
      <c r="D13" s="233"/>
    </row>
    <row r="14" spans="1:5" ht="16.5" thickTop="1" thickBot="1" x14ac:dyDescent="0.25">
      <c r="B14" s="29" t="s">
        <v>126</v>
      </c>
      <c r="C14" s="235">
        <v>0.55500000000000005</v>
      </c>
      <c r="D14" s="235">
        <v>0.44500000000000001</v>
      </c>
    </row>
    <row r="15" spans="1:5" ht="16.5" thickTop="1" thickBot="1" x14ac:dyDescent="0.25">
      <c r="B15" s="12" t="s">
        <v>100</v>
      </c>
      <c r="C15" s="235">
        <v>0.61299999999999999</v>
      </c>
      <c r="D15" s="235">
        <v>0.38700000000000001</v>
      </c>
    </row>
    <row r="16" spans="1:5" ht="15.75" thickTop="1" x14ac:dyDescent="0.2">
      <c r="B16" s="35" t="s">
        <v>101</v>
      </c>
      <c r="C16" s="235">
        <v>0.44</v>
      </c>
      <c r="D16" s="235">
        <v>0.56000000000000005</v>
      </c>
    </row>
    <row r="17" spans="2:4" x14ac:dyDescent="0.2">
      <c r="B17" s="35" t="s">
        <v>102</v>
      </c>
      <c r="C17" s="235">
        <v>0.45400000000000001</v>
      </c>
      <c r="D17" s="235">
        <v>0.54600000000000004</v>
      </c>
    </row>
    <row r="18" spans="2:4" x14ac:dyDescent="0.2">
      <c r="B18" s="23" t="s">
        <v>103</v>
      </c>
      <c r="C18" s="235">
        <v>0.53500000000000003</v>
      </c>
      <c r="D18" s="235">
        <v>0.46500000000000002</v>
      </c>
    </row>
  </sheetData>
  <mergeCells count="6">
    <mergeCell ref="B4:B5"/>
    <mergeCell ref="C4:C5"/>
    <mergeCell ref="D4:D5"/>
    <mergeCell ref="B12:B13"/>
    <mergeCell ref="C12:C13"/>
    <mergeCell ref="D12:D13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1"/>
  <sheetViews>
    <sheetView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5" ht="15.75" x14ac:dyDescent="0.25">
      <c r="A1" s="9" t="s">
        <v>8</v>
      </c>
    </row>
    <row r="2" spans="1:5" ht="15.75" x14ac:dyDescent="0.25">
      <c r="A2" s="9"/>
    </row>
    <row r="3" spans="1:5" ht="18.75" thickBot="1" x14ac:dyDescent="0.3">
      <c r="A3" s="9"/>
      <c r="B3" s="15" t="s">
        <v>104</v>
      </c>
    </row>
    <row r="4" spans="1:5" ht="22.5" customHeight="1" thickTop="1" x14ac:dyDescent="0.2">
      <c r="B4" s="225"/>
      <c r="C4" s="223" t="s">
        <v>270</v>
      </c>
      <c r="D4" s="223" t="s">
        <v>271</v>
      </c>
      <c r="E4" s="223" t="s">
        <v>164</v>
      </c>
    </row>
    <row r="5" spans="1:5" ht="22.5" customHeight="1" thickBot="1" x14ac:dyDescent="0.25">
      <c r="B5" s="226"/>
      <c r="C5" s="224"/>
      <c r="D5" s="224"/>
      <c r="E5" s="224"/>
    </row>
    <row r="6" spans="1:5" ht="16.5" thickTop="1" thickBot="1" x14ac:dyDescent="0.25">
      <c r="B6" s="12" t="s">
        <v>100</v>
      </c>
      <c r="C6" s="89">
        <v>2503</v>
      </c>
      <c r="D6" s="89">
        <v>2563</v>
      </c>
      <c r="E6" s="121">
        <f>(C6-D6)/D6</f>
        <v>-2.3410066328521262E-2</v>
      </c>
    </row>
    <row r="7" spans="1:5" ht="16.5" thickTop="1" thickBot="1" x14ac:dyDescent="0.25">
      <c r="B7" s="12" t="s">
        <v>101</v>
      </c>
      <c r="C7" s="90">
        <v>778</v>
      </c>
      <c r="D7" s="90">
        <v>884</v>
      </c>
      <c r="E7" s="121">
        <f>(C7-D7)/D7</f>
        <v>-0.11990950226244344</v>
      </c>
    </row>
    <row r="8" spans="1:5" ht="16.5" thickTop="1" thickBot="1" x14ac:dyDescent="0.25">
      <c r="B8" s="12" t="s">
        <v>102</v>
      </c>
      <c r="C8" s="90">
        <v>198</v>
      </c>
      <c r="D8" s="90">
        <v>236</v>
      </c>
      <c r="E8" s="121">
        <f>(C8-D8)/D8</f>
        <v>-0.16101694915254236</v>
      </c>
    </row>
    <row r="9" spans="1:5" ht="16.5" thickTop="1" thickBot="1" x14ac:dyDescent="0.25">
      <c r="B9" s="12" t="s">
        <v>103</v>
      </c>
      <c r="C9" s="90">
        <v>332</v>
      </c>
      <c r="D9" s="90">
        <v>334</v>
      </c>
      <c r="E9" s="42">
        <f>(C9-D9)/D9</f>
        <v>-5.9880239520958087E-3</v>
      </c>
    </row>
    <row r="10" spans="1:5" ht="16.5" thickTop="1" thickBot="1" x14ac:dyDescent="0.25">
      <c r="B10" s="34" t="s">
        <v>31</v>
      </c>
      <c r="C10" s="43">
        <f>SUM(C6:C9)</f>
        <v>3811</v>
      </c>
      <c r="D10" s="43">
        <f>SUM(D6:D9)</f>
        <v>4017</v>
      </c>
      <c r="E10" s="122">
        <f>(C10-D10)/D10</f>
        <v>-5.128205128205128E-2</v>
      </c>
    </row>
    <row r="11" spans="1:5" ht="15.75" thickTop="1" x14ac:dyDescent="0.2"/>
  </sheetData>
  <mergeCells count="4">
    <mergeCell ref="B4:B5"/>
    <mergeCell ref="C4:C5"/>
    <mergeCell ref="D4:D5"/>
    <mergeCell ref="E4:E5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36"/>
  <sheetViews>
    <sheetView zoomScaleNormal="100"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2" ht="15.75" x14ac:dyDescent="0.25">
      <c r="A1" s="9" t="s">
        <v>8</v>
      </c>
    </row>
    <row r="2" spans="1:2" ht="15.75" x14ac:dyDescent="0.25">
      <c r="A2" s="9"/>
    </row>
    <row r="3" spans="1:2" ht="18" x14ac:dyDescent="0.25">
      <c r="A3" s="9"/>
      <c r="B3" s="15" t="s">
        <v>105</v>
      </c>
    </row>
    <row r="4" spans="1:2" x14ac:dyDescent="0.2">
      <c r="B4" s="18"/>
    </row>
    <row r="33" spans="2:3" x14ac:dyDescent="0.2">
      <c r="B33" s="234" t="s">
        <v>254</v>
      </c>
      <c r="C33" s="234"/>
    </row>
    <row r="34" spans="2:3" x14ac:dyDescent="0.2">
      <c r="B34" s="234" t="s">
        <v>253</v>
      </c>
      <c r="C34" s="234"/>
    </row>
    <row r="36" spans="2:3" ht="15" customHeight="1" x14ac:dyDescent="0.2"/>
  </sheetData>
  <mergeCells count="2">
    <mergeCell ref="B33:C33"/>
    <mergeCell ref="B34:C34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9"/>
  <sheetViews>
    <sheetView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20.875" style="2" customWidth="1"/>
    <col min="5" max="5" width="14.875" style="2" customWidth="1"/>
    <col min="6" max="6" width="15.125" style="2" customWidth="1"/>
    <col min="7" max="16384" width="10.875" style="2"/>
  </cols>
  <sheetData>
    <row r="1" spans="1:4" ht="15.75" x14ac:dyDescent="0.25">
      <c r="A1" s="9" t="s">
        <v>8</v>
      </c>
    </row>
    <row r="2" spans="1:4" ht="15.75" x14ac:dyDescent="0.25">
      <c r="A2" s="9"/>
    </row>
    <row r="3" spans="1:4" ht="18.75" thickBot="1" x14ac:dyDescent="0.3">
      <c r="A3" s="9"/>
      <c r="B3" s="15" t="s">
        <v>108</v>
      </c>
    </row>
    <row r="4" spans="1:4" ht="46.5" customHeight="1" thickTop="1" thickBot="1" x14ac:dyDescent="0.25">
      <c r="B4" s="44" t="s">
        <v>106</v>
      </c>
      <c r="C4" s="45" t="s">
        <v>107</v>
      </c>
      <c r="D4" s="45" t="s">
        <v>159</v>
      </c>
    </row>
    <row r="5" spans="1:4" ht="16.5" thickTop="1" thickBot="1" x14ac:dyDescent="0.25">
      <c r="B5" s="12" t="s">
        <v>137</v>
      </c>
      <c r="C5" s="46">
        <v>39550531</v>
      </c>
      <c r="D5" s="38">
        <v>85.84</v>
      </c>
    </row>
    <row r="6" spans="1:4" ht="16.5" thickTop="1" thickBot="1" x14ac:dyDescent="0.25">
      <c r="B6" s="47" t="s">
        <v>169</v>
      </c>
      <c r="C6" s="48">
        <v>2303849</v>
      </c>
      <c r="D6" s="49">
        <v>4.99</v>
      </c>
    </row>
    <row r="7" spans="1:4" ht="16.5" thickTop="1" thickBot="1" x14ac:dyDescent="0.25">
      <c r="B7" s="12" t="s">
        <v>180</v>
      </c>
      <c r="C7" s="46">
        <v>4710265</v>
      </c>
      <c r="D7" s="38">
        <v>10.220000000000001</v>
      </c>
    </row>
    <row r="8" spans="1:4" ht="16.5" thickTop="1" thickBot="1" x14ac:dyDescent="0.25">
      <c r="B8" s="12"/>
    </row>
    <row r="9" spans="1:4" ht="15.75" thickTop="1" x14ac:dyDescent="0.2"/>
  </sheetData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61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ColWidth="10.875" defaultRowHeight="15" outlineLevelRow="1" outlineLevelCol="1" x14ac:dyDescent="0.2"/>
  <cols>
    <col min="1" max="1" width="5" style="2" customWidth="1"/>
    <col min="2" max="2" width="63.875" style="5" customWidth="1"/>
    <col min="3" max="3" width="14.875" style="5" customWidth="1"/>
    <col min="4" max="5" width="14.875" style="5" hidden="1" customWidth="1" outlineLevel="1"/>
    <col min="6" max="6" width="14.875" style="2" hidden="1" customWidth="1" outlineLevel="1"/>
    <col min="7" max="7" width="14.875" style="2" customWidth="1" collapsed="1"/>
    <col min="8" max="10" width="14.875" style="2" hidden="1" customWidth="1" outlineLevel="1"/>
    <col min="11" max="11" width="12.875" style="2" bestFit="1" customWidth="1" collapsed="1"/>
    <col min="12" max="12" width="12.75" style="2" bestFit="1" customWidth="1"/>
    <col min="13" max="16384" width="10.875" style="2"/>
  </cols>
  <sheetData>
    <row r="1" spans="1:13" ht="15.75" x14ac:dyDescent="0.25">
      <c r="A1" s="9" t="s">
        <v>8</v>
      </c>
    </row>
    <row r="2" spans="1:13" ht="15.75" x14ac:dyDescent="0.25">
      <c r="A2" s="9"/>
    </row>
    <row r="3" spans="1:13" ht="18" x14ac:dyDescent="0.25">
      <c r="B3" s="14" t="s">
        <v>42</v>
      </c>
      <c r="C3" s="14"/>
      <c r="D3" s="14"/>
      <c r="E3" s="14"/>
      <c r="F3" s="13"/>
      <c r="G3" s="13"/>
      <c r="H3" s="13"/>
      <c r="I3" s="13"/>
      <c r="J3" s="13"/>
    </row>
    <row r="4" spans="1:13" s="1" customFormat="1" ht="46.5" customHeight="1" thickBot="1" x14ac:dyDescent="0.25">
      <c r="A4" s="7"/>
      <c r="B4" s="76"/>
      <c r="C4" s="185" t="s">
        <v>258</v>
      </c>
      <c r="D4" s="185" t="s">
        <v>255</v>
      </c>
      <c r="E4" s="169" t="s">
        <v>242</v>
      </c>
      <c r="F4" s="150" t="s">
        <v>226</v>
      </c>
      <c r="G4" s="185" t="s">
        <v>257</v>
      </c>
      <c r="H4" s="185" t="s">
        <v>256</v>
      </c>
      <c r="I4" s="169" t="s">
        <v>243</v>
      </c>
      <c r="J4" s="155" t="s">
        <v>185</v>
      </c>
    </row>
    <row r="5" spans="1:13" s="5" customFormat="1" ht="16.5" thickTop="1" thickBot="1" x14ac:dyDescent="0.25">
      <c r="A5" s="7"/>
      <c r="B5" s="77" t="s">
        <v>32</v>
      </c>
      <c r="C5" s="61">
        <v>1090337</v>
      </c>
      <c r="D5" s="61">
        <v>406285</v>
      </c>
      <c r="E5" s="61">
        <v>414579</v>
      </c>
      <c r="F5" s="61">
        <v>269473</v>
      </c>
      <c r="G5" s="61">
        <v>1054773</v>
      </c>
      <c r="H5" s="61">
        <v>378903</v>
      </c>
      <c r="I5" s="61">
        <v>410204</v>
      </c>
      <c r="J5" s="61">
        <v>265666</v>
      </c>
      <c r="L5" s="200"/>
      <c r="M5" s="200"/>
    </row>
    <row r="6" spans="1:13" s="5" customFormat="1" ht="16.5" thickTop="1" thickBot="1" x14ac:dyDescent="0.25">
      <c r="A6" s="7"/>
      <c r="B6" s="78" t="s">
        <v>15</v>
      </c>
      <c r="C6" s="56">
        <v>-232783</v>
      </c>
      <c r="D6" s="56">
        <v>-83993</v>
      </c>
      <c r="E6" s="56">
        <v>-81001</v>
      </c>
      <c r="F6" s="56">
        <v>-67789</v>
      </c>
      <c r="G6" s="143">
        <v>-221753</v>
      </c>
      <c r="H6" s="56">
        <v>-75268</v>
      </c>
      <c r="I6" s="56">
        <v>-80442</v>
      </c>
      <c r="J6" s="56">
        <v>-66043</v>
      </c>
      <c r="L6" s="200"/>
      <c r="M6" s="200"/>
    </row>
    <row r="7" spans="1:13" s="5" customFormat="1" ht="16.5" thickTop="1" thickBot="1" x14ac:dyDescent="0.25">
      <c r="A7" s="7"/>
      <c r="B7" s="78" t="s">
        <v>33</v>
      </c>
      <c r="C7" s="56">
        <v>-275737</v>
      </c>
      <c r="D7" s="56">
        <v>-88948</v>
      </c>
      <c r="E7" s="56">
        <v>-93830</v>
      </c>
      <c r="F7" s="56">
        <v>-92959</v>
      </c>
      <c r="G7" s="143">
        <v>-270278</v>
      </c>
      <c r="H7" s="56">
        <v>-84660</v>
      </c>
      <c r="I7" s="56">
        <v>-92885</v>
      </c>
      <c r="J7" s="56">
        <v>-92733</v>
      </c>
      <c r="L7" s="200"/>
      <c r="M7" s="200"/>
    </row>
    <row r="8" spans="1:13" s="5" customFormat="1" ht="16.5" thickTop="1" thickBot="1" x14ac:dyDescent="0.25">
      <c r="A8" s="7"/>
      <c r="B8" s="78" t="s">
        <v>14</v>
      </c>
      <c r="C8" s="56">
        <v>-144542</v>
      </c>
      <c r="D8" s="56">
        <v>-45920</v>
      </c>
      <c r="E8" s="56">
        <v>-53703</v>
      </c>
      <c r="F8" s="56">
        <v>-44919</v>
      </c>
      <c r="G8" s="143">
        <v>-138590</v>
      </c>
      <c r="H8" s="56">
        <v>-42005</v>
      </c>
      <c r="I8" s="56">
        <v>-50339</v>
      </c>
      <c r="J8" s="56">
        <v>-46246</v>
      </c>
      <c r="L8" s="200"/>
      <c r="M8" s="200"/>
    </row>
    <row r="9" spans="1:13" s="5" customFormat="1" ht="16.5" thickTop="1" thickBot="1" x14ac:dyDescent="0.25">
      <c r="A9" s="7"/>
      <c r="B9" s="78" t="s">
        <v>16</v>
      </c>
      <c r="C9" s="56">
        <v>-24236</v>
      </c>
      <c r="D9" s="56">
        <v>-7941</v>
      </c>
      <c r="E9" s="56">
        <v>-8364</v>
      </c>
      <c r="F9" s="56">
        <v>-7931</v>
      </c>
      <c r="G9" s="143">
        <v>-31890</v>
      </c>
      <c r="H9" s="56">
        <v>-10692</v>
      </c>
      <c r="I9" s="56">
        <v>-11221</v>
      </c>
      <c r="J9" s="56">
        <v>-9977</v>
      </c>
      <c r="L9" s="200"/>
      <c r="M9" s="200"/>
    </row>
    <row r="10" spans="1:13" s="5" customFormat="1" ht="16.5" thickTop="1" thickBot="1" x14ac:dyDescent="0.25">
      <c r="A10" s="6"/>
      <c r="B10" s="78" t="s">
        <v>17</v>
      </c>
      <c r="C10" s="56">
        <v>-8218</v>
      </c>
      <c r="D10" s="56">
        <v>-2721</v>
      </c>
      <c r="E10" s="56">
        <v>-2908</v>
      </c>
      <c r="F10" s="56">
        <v>-2589</v>
      </c>
      <c r="G10" s="143">
        <v>-9617</v>
      </c>
      <c r="H10" s="56">
        <v>-3447</v>
      </c>
      <c r="I10" s="56">
        <v>-3280</v>
      </c>
      <c r="J10" s="56">
        <v>-2890</v>
      </c>
      <c r="L10" s="200"/>
      <c r="M10" s="200"/>
    </row>
    <row r="11" spans="1:13" s="5" customFormat="1" ht="16.5" thickTop="1" thickBot="1" x14ac:dyDescent="0.25">
      <c r="A11" s="10"/>
      <c r="B11" s="78" t="s">
        <v>187</v>
      </c>
      <c r="C11" s="56">
        <v>-1005</v>
      </c>
      <c r="D11" s="56">
        <v>-558</v>
      </c>
      <c r="E11" s="56">
        <v>-124</v>
      </c>
      <c r="F11" s="56">
        <v>-323</v>
      </c>
      <c r="G11" s="143">
        <v>1038</v>
      </c>
      <c r="H11" s="56">
        <v>589</v>
      </c>
      <c r="I11" s="56">
        <v>24</v>
      </c>
      <c r="J11" s="56">
        <v>425</v>
      </c>
      <c r="L11" s="200"/>
      <c r="M11" s="200"/>
    </row>
    <row r="12" spans="1:13" s="5" customFormat="1" ht="16.5" thickTop="1" thickBot="1" x14ac:dyDescent="0.25">
      <c r="A12" s="7"/>
      <c r="B12" s="78" t="s">
        <v>34</v>
      </c>
      <c r="C12" s="56">
        <v>-23</v>
      </c>
      <c r="D12" s="56">
        <v>-1682</v>
      </c>
      <c r="E12" s="56">
        <v>541</v>
      </c>
      <c r="F12" s="56">
        <v>1118</v>
      </c>
      <c r="G12" s="143">
        <v>172</v>
      </c>
      <c r="H12" s="56">
        <v>-928</v>
      </c>
      <c r="I12" s="56">
        <v>668</v>
      </c>
      <c r="J12" s="56">
        <v>432</v>
      </c>
      <c r="L12" s="200"/>
      <c r="M12" s="200"/>
    </row>
    <row r="13" spans="1:13" s="5" customFormat="1" ht="16.5" thickTop="1" thickBot="1" x14ac:dyDescent="0.25">
      <c r="A13" s="7"/>
      <c r="B13" s="75" t="s">
        <v>35</v>
      </c>
      <c r="C13" s="53">
        <f t="shared" ref="C13:J13" si="0">SUM(C5:C12)</f>
        <v>403793</v>
      </c>
      <c r="D13" s="53">
        <f t="shared" ref="D13:F13" si="1">SUM(D5:D12)</f>
        <v>174522</v>
      </c>
      <c r="E13" s="53">
        <f t="shared" si="1"/>
        <v>175190</v>
      </c>
      <c r="F13" s="53">
        <f t="shared" si="1"/>
        <v>54081</v>
      </c>
      <c r="G13" s="53">
        <f t="shared" si="0"/>
        <v>383855</v>
      </c>
      <c r="H13" s="53">
        <f t="shared" ref="H13" si="2">SUM(H5:H12)</f>
        <v>162492</v>
      </c>
      <c r="I13" s="53">
        <f t="shared" si="0"/>
        <v>172729</v>
      </c>
      <c r="J13" s="53">
        <f t="shared" si="0"/>
        <v>48634</v>
      </c>
      <c r="K13" s="133"/>
      <c r="L13" s="200"/>
      <c r="M13" s="200"/>
    </row>
    <row r="14" spans="1:13" s="5" customFormat="1" ht="16.5" thickTop="1" thickBot="1" x14ac:dyDescent="0.25">
      <c r="A14" s="7"/>
      <c r="B14" s="78" t="s">
        <v>36</v>
      </c>
      <c r="C14" s="56">
        <v>-8895</v>
      </c>
      <c r="D14" s="56">
        <v>-2936</v>
      </c>
      <c r="E14" s="56">
        <v>-3359</v>
      </c>
      <c r="F14" s="56">
        <v>-2600</v>
      </c>
      <c r="G14" s="143">
        <v>-42281</v>
      </c>
      <c r="H14" s="56">
        <v>-13999</v>
      </c>
      <c r="I14" s="56">
        <v>-14961</v>
      </c>
      <c r="J14" s="56">
        <v>-13321</v>
      </c>
      <c r="L14" s="200"/>
      <c r="M14" s="200"/>
    </row>
    <row r="15" spans="1:13" s="5" customFormat="1" ht="16.5" thickTop="1" thickBot="1" x14ac:dyDescent="0.25">
      <c r="A15" s="7"/>
      <c r="B15" s="75" t="s">
        <v>37</v>
      </c>
      <c r="C15" s="40">
        <f t="shared" ref="C15:J15" si="3">SUM(C13:C14)</f>
        <v>394898</v>
      </c>
      <c r="D15" s="40">
        <f t="shared" ref="D15:F15" si="4">SUM(D13:D14)</f>
        <v>171586</v>
      </c>
      <c r="E15" s="40">
        <f t="shared" si="4"/>
        <v>171831</v>
      </c>
      <c r="F15" s="40">
        <f t="shared" si="4"/>
        <v>51481</v>
      </c>
      <c r="G15" s="40">
        <f t="shared" si="3"/>
        <v>341574</v>
      </c>
      <c r="H15" s="40">
        <f t="shared" si="3"/>
        <v>148493</v>
      </c>
      <c r="I15" s="40">
        <f t="shared" si="3"/>
        <v>157768</v>
      </c>
      <c r="J15" s="40">
        <f t="shared" si="3"/>
        <v>35313</v>
      </c>
      <c r="L15" s="200"/>
      <c r="M15" s="200"/>
    </row>
    <row r="16" spans="1:13" s="5" customFormat="1" ht="16.5" thickTop="1" thickBot="1" x14ac:dyDescent="0.25">
      <c r="A16" s="7"/>
      <c r="B16" s="78" t="s">
        <v>13</v>
      </c>
      <c r="C16" s="56">
        <v>-164071</v>
      </c>
      <c r="D16" s="56">
        <v>-55537</v>
      </c>
      <c r="E16" s="56">
        <v>-55121</v>
      </c>
      <c r="F16" s="56">
        <v>-53413</v>
      </c>
      <c r="G16" s="143">
        <v>-124919</v>
      </c>
      <c r="H16" s="56">
        <v>-42603</v>
      </c>
      <c r="I16" s="56">
        <v>-40403</v>
      </c>
      <c r="J16" s="56">
        <v>-41913</v>
      </c>
      <c r="L16" s="200"/>
      <c r="M16" s="200"/>
    </row>
    <row r="17" spans="1:13" s="5" customFormat="1" ht="16.5" thickTop="1" thickBot="1" x14ac:dyDescent="0.25">
      <c r="A17" s="7"/>
      <c r="B17" s="75" t="s">
        <v>203</v>
      </c>
      <c r="C17" s="40">
        <f t="shared" ref="C17:J17" si="5">SUM(C15:C16)</f>
        <v>230827</v>
      </c>
      <c r="D17" s="40">
        <f t="shared" ref="D17:F17" si="6">SUM(D15:D16)</f>
        <v>116049</v>
      </c>
      <c r="E17" s="40">
        <f t="shared" si="6"/>
        <v>116710</v>
      </c>
      <c r="F17" s="40">
        <f t="shared" si="6"/>
        <v>-1932</v>
      </c>
      <c r="G17" s="40">
        <f t="shared" si="5"/>
        <v>216655</v>
      </c>
      <c r="H17" s="40">
        <f t="shared" si="5"/>
        <v>105890</v>
      </c>
      <c r="I17" s="40">
        <f t="shared" si="5"/>
        <v>117365</v>
      </c>
      <c r="J17" s="40">
        <f t="shared" si="5"/>
        <v>-6600</v>
      </c>
      <c r="L17" s="200"/>
      <c r="M17" s="200"/>
    </row>
    <row r="18" spans="1:13" s="5" customFormat="1" ht="16.5" thickTop="1" thickBot="1" x14ac:dyDescent="0.25">
      <c r="A18" s="10"/>
      <c r="B18" s="78" t="s">
        <v>149</v>
      </c>
      <c r="C18" s="56">
        <v>59194</v>
      </c>
      <c r="D18" s="56">
        <v>108</v>
      </c>
      <c r="E18" s="56">
        <v>11470</v>
      </c>
      <c r="F18" s="56">
        <v>47616</v>
      </c>
      <c r="G18" s="143">
        <v>129380</v>
      </c>
      <c r="H18" s="56">
        <v>32</v>
      </c>
      <c r="I18" s="56">
        <v>128469</v>
      </c>
      <c r="J18" s="56">
        <v>879</v>
      </c>
      <c r="L18" s="200"/>
      <c r="M18" s="200"/>
    </row>
    <row r="19" spans="1:13" s="5" customFormat="1" ht="16.5" thickTop="1" thickBot="1" x14ac:dyDescent="0.25">
      <c r="A19" s="10"/>
      <c r="B19" s="78" t="s">
        <v>161</v>
      </c>
      <c r="C19" s="56">
        <v>-2805</v>
      </c>
      <c r="D19" s="56">
        <v>0</v>
      </c>
      <c r="E19" s="56">
        <v>-2805</v>
      </c>
      <c r="F19" s="56">
        <v>0</v>
      </c>
      <c r="G19" s="143">
        <v>2336</v>
      </c>
      <c r="H19" s="56">
        <v>2336</v>
      </c>
      <c r="I19" s="56">
        <v>0</v>
      </c>
      <c r="J19" s="56">
        <v>0</v>
      </c>
      <c r="L19" s="200"/>
      <c r="M19" s="200"/>
    </row>
    <row r="20" spans="1:13" s="5" customFormat="1" ht="16.5" thickTop="1" thickBot="1" x14ac:dyDescent="0.25">
      <c r="A20" s="6"/>
      <c r="B20" s="78" t="s">
        <v>38</v>
      </c>
      <c r="C20" s="56">
        <v>-1929</v>
      </c>
      <c r="D20" s="56">
        <v>-1470</v>
      </c>
      <c r="E20" s="56">
        <v>-435</v>
      </c>
      <c r="F20" s="56">
        <v>-24</v>
      </c>
      <c r="G20" s="143">
        <v>-388</v>
      </c>
      <c r="H20" s="56">
        <v>-491</v>
      </c>
      <c r="I20" s="56">
        <v>132</v>
      </c>
      <c r="J20" s="56">
        <v>-29</v>
      </c>
      <c r="L20" s="200"/>
      <c r="M20" s="200"/>
    </row>
    <row r="21" spans="1:13" s="5" customFormat="1" ht="16.5" thickTop="1" thickBot="1" x14ac:dyDescent="0.25">
      <c r="A21" s="7"/>
      <c r="B21" s="78" t="s">
        <v>39</v>
      </c>
      <c r="C21" s="56">
        <v>-13739</v>
      </c>
      <c r="D21" s="56">
        <v>-6608</v>
      </c>
      <c r="E21" s="56">
        <v>-7096</v>
      </c>
      <c r="F21" s="56">
        <v>-35</v>
      </c>
      <c r="G21" s="143">
        <v>-851</v>
      </c>
      <c r="H21" s="56">
        <v>-851</v>
      </c>
      <c r="I21" s="56">
        <v>709</v>
      </c>
      <c r="J21" s="56">
        <v>-709</v>
      </c>
      <c r="L21" s="200"/>
      <c r="M21" s="200"/>
    </row>
    <row r="22" spans="1:13" s="5" customFormat="1" ht="16.5" thickTop="1" thickBot="1" x14ac:dyDescent="0.25">
      <c r="A22" s="7"/>
      <c r="B22" s="75" t="s">
        <v>204</v>
      </c>
      <c r="C22" s="40">
        <f t="shared" ref="C22:J22" si="7">SUM(C17:C21)</f>
        <v>271548</v>
      </c>
      <c r="D22" s="40">
        <f t="shared" ref="D22:F22" si="8">SUM(D17:D21)</f>
        <v>108079</v>
      </c>
      <c r="E22" s="40">
        <f t="shared" si="8"/>
        <v>117844</v>
      </c>
      <c r="F22" s="40">
        <f t="shared" si="8"/>
        <v>45625</v>
      </c>
      <c r="G22" s="40">
        <f t="shared" si="7"/>
        <v>347132</v>
      </c>
      <c r="H22" s="40">
        <f t="shared" si="7"/>
        <v>106916</v>
      </c>
      <c r="I22" s="40">
        <f t="shared" si="7"/>
        <v>246675</v>
      </c>
      <c r="J22" s="40">
        <f t="shared" si="7"/>
        <v>-6459</v>
      </c>
      <c r="L22" s="200"/>
      <c r="M22" s="200"/>
    </row>
    <row r="23" spans="1:13" s="5" customFormat="1" ht="16.5" hidden="1" outlineLevel="1" thickTop="1" thickBot="1" x14ac:dyDescent="0.25">
      <c r="A23" s="11"/>
      <c r="B23" s="78" t="s">
        <v>142</v>
      </c>
      <c r="C23" s="56">
        <v>0</v>
      </c>
      <c r="D23" s="56">
        <v>0</v>
      </c>
      <c r="E23" s="93">
        <v>0</v>
      </c>
      <c r="F23" s="93">
        <v>0</v>
      </c>
      <c r="G23" s="93">
        <v>0</v>
      </c>
      <c r="H23" s="56">
        <v>0</v>
      </c>
      <c r="I23" s="93">
        <v>0</v>
      </c>
      <c r="J23" s="93">
        <v>0</v>
      </c>
      <c r="L23" s="200"/>
      <c r="M23" s="200"/>
    </row>
    <row r="24" spans="1:13" s="5" customFormat="1" ht="16.5" collapsed="1" thickTop="1" thickBot="1" x14ac:dyDescent="0.25">
      <c r="A24" s="7"/>
      <c r="B24" s="78" t="s">
        <v>6</v>
      </c>
      <c r="C24" s="56">
        <v>3384</v>
      </c>
      <c r="D24" s="56">
        <v>1450</v>
      </c>
      <c r="E24" s="56">
        <v>1220</v>
      </c>
      <c r="F24" s="56">
        <v>714</v>
      </c>
      <c r="G24" s="143">
        <v>1151</v>
      </c>
      <c r="H24" s="56">
        <v>612</v>
      </c>
      <c r="I24" s="56">
        <v>1170</v>
      </c>
      <c r="J24" s="56">
        <v>222</v>
      </c>
      <c r="L24" s="200"/>
      <c r="M24" s="200"/>
    </row>
    <row r="25" spans="1:13" s="5" customFormat="1" ht="16.5" thickTop="1" thickBot="1" x14ac:dyDescent="0.25">
      <c r="A25" s="7"/>
      <c r="B25" s="78" t="s">
        <v>40</v>
      </c>
      <c r="C25" s="56">
        <v>-39957</v>
      </c>
      <c r="D25" s="56">
        <v>-18307</v>
      </c>
      <c r="E25" s="56">
        <v>-12412</v>
      </c>
      <c r="F25" s="56">
        <v>-9238</v>
      </c>
      <c r="G25" s="143">
        <v>-16328</v>
      </c>
      <c r="H25" s="56">
        <v>-9164</v>
      </c>
      <c r="I25" s="56">
        <v>-4209</v>
      </c>
      <c r="J25" s="56">
        <v>-3808</v>
      </c>
      <c r="L25" s="200"/>
      <c r="M25" s="200"/>
    </row>
    <row r="26" spans="1:13" s="5" customFormat="1" ht="16.5" hidden="1" thickTop="1" thickBot="1" x14ac:dyDescent="0.25">
      <c r="A26" s="7"/>
      <c r="B26" s="78" t="s">
        <v>41</v>
      </c>
      <c r="C26" s="171"/>
      <c r="D26" s="171"/>
      <c r="E26" s="56"/>
      <c r="F26" s="56">
        <v>0</v>
      </c>
      <c r="G26" s="56"/>
      <c r="H26" s="171"/>
      <c r="I26" s="56"/>
      <c r="J26" s="56">
        <v>0</v>
      </c>
      <c r="L26" s="200"/>
      <c r="M26" s="200"/>
    </row>
    <row r="27" spans="1:13" s="5" customFormat="1" ht="16.5" thickTop="1" thickBot="1" x14ac:dyDescent="0.25">
      <c r="A27" s="7"/>
      <c r="B27" s="75" t="s">
        <v>205</v>
      </c>
      <c r="C27" s="40">
        <f t="shared" ref="C27:J27" si="9">SUM(C22:C26)</f>
        <v>234975</v>
      </c>
      <c r="D27" s="40">
        <f t="shared" ref="D27:F27" si="10">SUM(D22:D26)</f>
        <v>91222</v>
      </c>
      <c r="E27" s="40">
        <f t="shared" si="10"/>
        <v>106652</v>
      </c>
      <c r="F27" s="40">
        <f t="shared" si="10"/>
        <v>37101</v>
      </c>
      <c r="G27" s="40">
        <f t="shared" si="9"/>
        <v>331955</v>
      </c>
      <c r="H27" s="40">
        <f t="shared" si="9"/>
        <v>98364</v>
      </c>
      <c r="I27" s="40">
        <f t="shared" si="9"/>
        <v>243636</v>
      </c>
      <c r="J27" s="40">
        <f t="shared" si="9"/>
        <v>-10045</v>
      </c>
      <c r="L27" s="200"/>
      <c r="M27" s="200"/>
    </row>
    <row r="28" spans="1:13" s="5" customFormat="1" ht="16.5" thickTop="1" thickBot="1" x14ac:dyDescent="0.25">
      <c r="A28" s="7"/>
      <c r="B28" s="78" t="s">
        <v>7</v>
      </c>
      <c r="C28" s="56">
        <v>-46698</v>
      </c>
      <c r="D28" s="56">
        <v>-16798</v>
      </c>
      <c r="E28" s="56">
        <v>-18629</v>
      </c>
      <c r="F28" s="56">
        <v>-11271</v>
      </c>
      <c r="G28" s="143">
        <v>-47453</v>
      </c>
      <c r="H28" s="56">
        <v>-18962</v>
      </c>
      <c r="I28" s="56">
        <v>-29744</v>
      </c>
      <c r="J28" s="56">
        <v>1253</v>
      </c>
      <c r="L28" s="200"/>
      <c r="M28" s="200"/>
    </row>
    <row r="29" spans="1:13" s="5" customFormat="1" ht="16.5" thickTop="1" thickBot="1" x14ac:dyDescent="0.25">
      <c r="A29" s="11"/>
      <c r="B29" s="75" t="s">
        <v>252</v>
      </c>
      <c r="C29" s="40">
        <f t="shared" ref="C29:J29" si="11">SUM(C27:C28)</f>
        <v>188277</v>
      </c>
      <c r="D29" s="40">
        <f t="shared" si="11"/>
        <v>74424</v>
      </c>
      <c r="E29" s="40">
        <f t="shared" si="11"/>
        <v>88023</v>
      </c>
      <c r="F29" s="40">
        <f t="shared" si="11"/>
        <v>25830</v>
      </c>
      <c r="G29" s="40">
        <f t="shared" si="11"/>
        <v>284502</v>
      </c>
      <c r="H29" s="40">
        <f t="shared" ref="H29" si="12">SUM(H27:H28)</f>
        <v>79402</v>
      </c>
      <c r="I29" s="40">
        <f t="shared" si="11"/>
        <v>213892</v>
      </c>
      <c r="J29" s="40">
        <f t="shared" si="11"/>
        <v>-8792</v>
      </c>
      <c r="L29" s="200"/>
      <c r="M29" s="200"/>
    </row>
    <row r="30" spans="1:13" s="5" customFormat="1" ht="16.5" thickTop="1" thickBot="1" x14ac:dyDescent="0.25">
      <c r="A30" s="11"/>
      <c r="B30" s="75" t="s">
        <v>246</v>
      </c>
      <c r="C30" s="40">
        <v>20697</v>
      </c>
      <c r="D30" s="61">
        <v>5469</v>
      </c>
      <c r="E30" s="40">
        <v>10248</v>
      </c>
      <c r="F30" s="40">
        <v>4980</v>
      </c>
      <c r="G30" s="61">
        <v>14180</v>
      </c>
      <c r="H30" s="61">
        <v>4264</v>
      </c>
      <c r="I30" s="40">
        <v>5512</v>
      </c>
      <c r="J30" s="40">
        <v>4404</v>
      </c>
      <c r="L30" s="200"/>
      <c r="M30" s="200"/>
    </row>
    <row r="31" spans="1:13" s="5" customFormat="1" ht="16.5" thickTop="1" thickBot="1" x14ac:dyDescent="0.25">
      <c r="A31" s="7"/>
      <c r="B31" s="75" t="s">
        <v>206</v>
      </c>
      <c r="C31" s="40">
        <f t="shared" ref="C31:J31" si="13">SUM(C29:C30)</f>
        <v>208974</v>
      </c>
      <c r="D31" s="40">
        <f t="shared" si="13"/>
        <v>79893</v>
      </c>
      <c r="E31" s="40">
        <f t="shared" si="13"/>
        <v>98271</v>
      </c>
      <c r="F31" s="40">
        <f t="shared" si="13"/>
        <v>30810</v>
      </c>
      <c r="G31" s="40">
        <f t="shared" si="13"/>
        <v>298682</v>
      </c>
      <c r="H31" s="40">
        <f t="shared" ref="H31" si="14">SUM(H29:H30)</f>
        <v>83666</v>
      </c>
      <c r="I31" s="40">
        <f t="shared" si="13"/>
        <v>219404</v>
      </c>
      <c r="J31" s="40">
        <f t="shared" si="13"/>
        <v>-4388</v>
      </c>
      <c r="L31" s="200"/>
      <c r="M31" s="200"/>
    </row>
    <row r="32" spans="1:13" s="5" customFormat="1" ht="16.5" thickTop="1" thickBot="1" x14ac:dyDescent="0.25">
      <c r="A32" s="7"/>
      <c r="B32" s="78" t="s">
        <v>133</v>
      </c>
      <c r="C32" s="56">
        <v>208928</v>
      </c>
      <c r="D32" s="56">
        <v>79867</v>
      </c>
      <c r="E32" s="56">
        <v>98248</v>
      </c>
      <c r="F32" s="56">
        <v>30813</v>
      </c>
      <c r="G32" s="56">
        <v>298534</v>
      </c>
      <c r="H32" s="56">
        <v>83644</v>
      </c>
      <c r="I32" s="56">
        <v>219275</v>
      </c>
      <c r="J32" s="56">
        <v>-4385</v>
      </c>
      <c r="L32" s="200"/>
      <c r="M32" s="200"/>
    </row>
    <row r="33" spans="1:13" s="5" customFormat="1" ht="16.5" thickTop="1" thickBot="1" x14ac:dyDescent="0.25">
      <c r="A33" s="7"/>
      <c r="B33" s="78" t="s">
        <v>134</v>
      </c>
      <c r="C33" s="56">
        <v>46</v>
      </c>
      <c r="D33" s="56">
        <v>26</v>
      </c>
      <c r="E33" s="56">
        <v>23</v>
      </c>
      <c r="F33" s="56">
        <v>-3</v>
      </c>
      <c r="G33" s="56">
        <v>148</v>
      </c>
      <c r="H33" s="56">
        <v>22</v>
      </c>
      <c r="I33" s="56">
        <v>129</v>
      </c>
      <c r="J33" s="56">
        <v>-3</v>
      </c>
      <c r="L33" s="200"/>
      <c r="M33" s="200"/>
    </row>
    <row r="34" spans="1:13" s="5" customFormat="1" ht="16.5" thickTop="1" thickBot="1" x14ac:dyDescent="0.25">
      <c r="A34" s="7"/>
      <c r="B34" s="79"/>
      <c r="C34" s="172"/>
      <c r="D34" s="172"/>
      <c r="E34" s="172"/>
      <c r="F34" s="80"/>
      <c r="G34" s="80"/>
      <c r="H34" s="172"/>
      <c r="I34" s="80"/>
      <c r="J34" s="80"/>
      <c r="L34" s="200"/>
      <c r="M34" s="200"/>
    </row>
    <row r="35" spans="1:13" s="5" customFormat="1" ht="16.5" thickTop="1" thickBot="1" x14ac:dyDescent="0.25">
      <c r="A35" s="7"/>
      <c r="B35" s="75" t="s">
        <v>207</v>
      </c>
      <c r="C35" s="80"/>
      <c r="D35" s="80"/>
      <c r="E35" s="80"/>
      <c r="F35" s="80"/>
      <c r="G35" s="80"/>
      <c r="H35" s="80"/>
      <c r="I35" s="80"/>
      <c r="J35" s="80"/>
      <c r="L35" s="200"/>
      <c r="M35" s="200"/>
    </row>
    <row r="36" spans="1:13" s="5" customFormat="1" ht="25.5" thickTop="1" thickBot="1" x14ac:dyDescent="0.25">
      <c r="A36" s="7"/>
      <c r="B36" s="81" t="s">
        <v>208</v>
      </c>
      <c r="C36" s="82">
        <f t="shared" ref="C36:J36" si="15">ROUND(C32*1000/46077008,2)</f>
        <v>4.53</v>
      </c>
      <c r="D36" s="82">
        <f t="shared" si="15"/>
        <v>1.73</v>
      </c>
      <c r="E36" s="82">
        <f t="shared" si="15"/>
        <v>2.13</v>
      </c>
      <c r="F36" s="82">
        <f t="shared" si="15"/>
        <v>0.67</v>
      </c>
      <c r="G36" s="82">
        <f t="shared" si="15"/>
        <v>6.48</v>
      </c>
      <c r="H36" s="82">
        <f t="shared" si="15"/>
        <v>1.82</v>
      </c>
      <c r="I36" s="82">
        <f t="shared" si="15"/>
        <v>4.76</v>
      </c>
      <c r="J36" s="82">
        <f t="shared" si="15"/>
        <v>-0.1</v>
      </c>
      <c r="L36" s="200"/>
      <c r="M36" s="200"/>
    </row>
    <row r="37" spans="1:13" s="5" customFormat="1" ht="24" customHeight="1" thickTop="1" thickBot="1" x14ac:dyDescent="0.25">
      <c r="A37" s="11"/>
      <c r="B37" s="177" t="s">
        <v>269</v>
      </c>
      <c r="C37" s="175">
        <v>4.09</v>
      </c>
      <c r="D37" s="175">
        <v>1.62</v>
      </c>
      <c r="E37" s="175">
        <v>1.91</v>
      </c>
      <c r="F37" s="175">
        <v>0.56000000000000005</v>
      </c>
      <c r="G37" s="175">
        <v>6.17</v>
      </c>
      <c r="H37" s="175">
        <v>1.72</v>
      </c>
      <c r="I37" s="175">
        <v>4.6399999999999997</v>
      </c>
      <c r="J37" s="175">
        <v>-0.19</v>
      </c>
      <c r="L37" s="200"/>
      <c r="M37" s="200"/>
    </row>
    <row r="38" spans="1:13" s="5" customFormat="1" ht="24" customHeight="1" thickTop="1" thickBot="1" x14ac:dyDescent="0.25">
      <c r="A38" s="11"/>
      <c r="B38" s="177" t="s">
        <v>248</v>
      </c>
      <c r="C38" s="175">
        <v>0.44</v>
      </c>
      <c r="D38" s="175">
        <v>0.11</v>
      </c>
      <c r="E38" s="175">
        <v>0.22</v>
      </c>
      <c r="F38" s="175">
        <v>0.11</v>
      </c>
      <c r="G38" s="175">
        <v>0.31</v>
      </c>
      <c r="H38" s="175">
        <v>0.1</v>
      </c>
      <c r="I38" s="175">
        <v>0.12</v>
      </c>
      <c r="J38" s="175">
        <v>9.0000000000000011E-2</v>
      </c>
      <c r="L38" s="200"/>
      <c r="M38" s="200"/>
    </row>
    <row r="39" spans="1:13" s="5" customFormat="1" ht="16.5" thickTop="1" thickBot="1" x14ac:dyDescent="0.25">
      <c r="A39" s="7"/>
      <c r="B39" s="8"/>
      <c r="C39" s="188"/>
      <c r="D39" s="188"/>
      <c r="E39" s="188"/>
      <c r="F39" s="188"/>
      <c r="G39" s="188"/>
      <c r="H39" s="188"/>
      <c r="I39" s="188"/>
      <c r="J39" s="188"/>
      <c r="L39" s="200"/>
      <c r="M39" s="200"/>
    </row>
    <row r="40" spans="1:13" s="5" customFormat="1" ht="37.5" thickTop="1" thickBot="1" x14ac:dyDescent="0.3">
      <c r="A40" s="7"/>
      <c r="B40" s="14" t="s">
        <v>156</v>
      </c>
      <c r="C40" s="14"/>
      <c r="D40" s="14"/>
      <c r="E40" s="14"/>
      <c r="L40" s="200"/>
      <c r="M40" s="200"/>
    </row>
    <row r="41" spans="1:13" s="5" customFormat="1" ht="46.5" customHeight="1" thickTop="1" thickBot="1" x14ac:dyDescent="0.25">
      <c r="A41" s="7"/>
      <c r="B41" s="76"/>
      <c r="C41" s="170" t="str">
        <f t="shared" ref="C41:J41" si="16">C4</f>
        <v>9 miesięcy 2019</v>
      </c>
      <c r="D41" s="185" t="str">
        <f t="shared" si="16"/>
        <v>III kwartał 2019</v>
      </c>
      <c r="E41" s="170" t="str">
        <f t="shared" si="16"/>
        <v>II kwartał 2019</v>
      </c>
      <c r="F41" s="141" t="str">
        <f t="shared" si="16"/>
        <v>I kwartał 2019</v>
      </c>
      <c r="G41" s="170" t="str">
        <f t="shared" si="16"/>
        <v>9 miesięcy 2018</v>
      </c>
      <c r="H41" s="185" t="str">
        <f t="shared" si="16"/>
        <v>III kwartał 2018</v>
      </c>
      <c r="I41" s="170" t="str">
        <f t="shared" si="16"/>
        <v>II kwartał 2018</v>
      </c>
      <c r="J41" s="123" t="str">
        <f t="shared" si="16"/>
        <v>I kwartał 2018</v>
      </c>
      <c r="L41" s="200"/>
      <c r="M41" s="200"/>
    </row>
    <row r="42" spans="1:13" s="5" customFormat="1" ht="16.5" thickTop="1" thickBot="1" x14ac:dyDescent="0.25">
      <c r="A42" s="7"/>
      <c r="B42" s="77" t="s">
        <v>206</v>
      </c>
      <c r="C42" s="40">
        <f t="shared" ref="C42:I42" si="17">C31</f>
        <v>208974</v>
      </c>
      <c r="D42" s="40">
        <f t="shared" si="17"/>
        <v>79893</v>
      </c>
      <c r="E42" s="40">
        <f t="shared" si="17"/>
        <v>98271</v>
      </c>
      <c r="F42" s="40">
        <f t="shared" si="17"/>
        <v>30810</v>
      </c>
      <c r="G42" s="40">
        <f t="shared" si="17"/>
        <v>298682</v>
      </c>
      <c r="H42" s="40">
        <f t="shared" ref="H42" si="18">H31</f>
        <v>83666</v>
      </c>
      <c r="I42" s="40">
        <f t="shared" si="17"/>
        <v>219404</v>
      </c>
      <c r="J42" s="40">
        <f t="shared" ref="J42" si="19">J31</f>
        <v>-4388</v>
      </c>
      <c r="L42" s="200"/>
      <c r="M42" s="200"/>
    </row>
    <row r="43" spans="1:13" s="5" customFormat="1" ht="16.5" thickTop="1" thickBot="1" x14ac:dyDescent="0.25">
      <c r="A43" s="6"/>
      <c r="B43" s="94"/>
      <c r="C43" s="41"/>
      <c r="D43" s="41"/>
      <c r="E43" s="41"/>
      <c r="F43" s="41"/>
      <c r="G43" s="41"/>
      <c r="H43" s="41"/>
      <c r="I43" s="41"/>
      <c r="J43" s="41"/>
      <c r="L43" s="200"/>
      <c r="M43" s="200"/>
    </row>
    <row r="44" spans="1:13" s="5" customFormat="1" ht="25.5" thickTop="1" thickBot="1" x14ac:dyDescent="0.25">
      <c r="A44" s="7"/>
      <c r="B44" s="77" t="s">
        <v>200</v>
      </c>
      <c r="C44" s="41"/>
      <c r="D44" s="41"/>
      <c r="E44" s="41"/>
      <c r="F44" s="41"/>
      <c r="G44" s="41"/>
      <c r="H44" s="41"/>
      <c r="I44" s="41"/>
      <c r="J44" s="41"/>
      <c r="L44" s="200"/>
      <c r="M44" s="200"/>
    </row>
    <row r="45" spans="1:13" s="5" customFormat="1" ht="16.5" thickTop="1" thickBot="1" x14ac:dyDescent="0.25">
      <c r="A45" s="7"/>
      <c r="B45" s="78" t="s">
        <v>177</v>
      </c>
      <c r="C45" s="56"/>
      <c r="D45" s="56"/>
      <c r="E45" s="56"/>
      <c r="F45" s="56"/>
      <c r="G45" s="56"/>
      <c r="H45" s="56"/>
      <c r="I45" s="56"/>
      <c r="J45" s="56"/>
      <c r="L45" s="200"/>
      <c r="M45" s="200"/>
    </row>
    <row r="46" spans="1:13" s="5" customFormat="1" ht="25.5" thickTop="1" thickBot="1" x14ac:dyDescent="0.25">
      <c r="A46" s="7"/>
      <c r="B46" s="78" t="s">
        <v>151</v>
      </c>
      <c r="C46" s="56"/>
      <c r="D46" s="56"/>
      <c r="E46" s="56"/>
      <c r="F46" s="56"/>
      <c r="G46" s="56">
        <v>-9</v>
      </c>
      <c r="H46" s="56">
        <v>-9</v>
      </c>
      <c r="I46" s="56">
        <v>0</v>
      </c>
      <c r="J46" s="56">
        <v>0</v>
      </c>
      <c r="L46" s="200"/>
      <c r="M46" s="200"/>
    </row>
    <row r="47" spans="1:13" s="5" customFormat="1" ht="25.5" thickTop="1" thickBot="1" x14ac:dyDescent="0.25">
      <c r="A47" s="7"/>
      <c r="B47" s="77" t="s">
        <v>201</v>
      </c>
      <c r="C47" s="56"/>
      <c r="D47" s="56"/>
      <c r="E47" s="56"/>
      <c r="F47" s="56"/>
      <c r="G47" s="56"/>
      <c r="H47" s="56"/>
      <c r="I47" s="56"/>
      <c r="J47" s="56"/>
      <c r="L47" s="200"/>
      <c r="M47" s="200"/>
    </row>
    <row r="48" spans="1:13" s="5" customFormat="1" ht="16.5" thickTop="1" thickBot="1" x14ac:dyDescent="0.25">
      <c r="A48" s="7"/>
      <c r="B48" s="78" t="s">
        <v>160</v>
      </c>
      <c r="C48" s="56">
        <v>-8526</v>
      </c>
      <c r="D48" s="56">
        <v>2015</v>
      </c>
      <c r="E48" s="56">
        <v>-9145</v>
      </c>
      <c r="F48" s="56">
        <v>-1396</v>
      </c>
      <c r="G48" s="56">
        <v>10250</v>
      </c>
      <c r="H48" s="56">
        <v>-5715</v>
      </c>
      <c r="I48" s="56">
        <v>11473</v>
      </c>
      <c r="J48" s="56">
        <v>4492</v>
      </c>
      <c r="L48" s="200"/>
      <c r="M48" s="200"/>
    </row>
    <row r="49" spans="2:13" ht="25.5" thickTop="1" thickBot="1" x14ac:dyDescent="0.25">
      <c r="B49" s="78" t="s">
        <v>152</v>
      </c>
      <c r="C49" s="56">
        <v>0</v>
      </c>
      <c r="D49" s="56">
        <v>0</v>
      </c>
      <c r="E49" s="56">
        <v>0</v>
      </c>
      <c r="F49" s="56">
        <v>0</v>
      </c>
      <c r="G49" s="56">
        <v>75</v>
      </c>
      <c r="H49" s="56">
        <v>0</v>
      </c>
      <c r="I49" s="56">
        <v>75</v>
      </c>
      <c r="J49" s="56">
        <v>0</v>
      </c>
      <c r="K49" s="5"/>
      <c r="L49" s="200"/>
      <c r="M49" s="200"/>
    </row>
    <row r="50" spans="2:13" ht="25.5" thickTop="1" thickBot="1" x14ac:dyDescent="0.25">
      <c r="B50" s="78" t="s">
        <v>157</v>
      </c>
      <c r="C50" s="56">
        <v>0</v>
      </c>
      <c r="D50" s="56">
        <v>0</v>
      </c>
      <c r="E50" s="56">
        <v>0</v>
      </c>
      <c r="F50" s="56">
        <v>0</v>
      </c>
      <c r="G50" s="56">
        <v>-14</v>
      </c>
      <c r="H50" s="56">
        <v>0</v>
      </c>
      <c r="I50" s="56">
        <v>-14</v>
      </c>
      <c r="J50" s="56">
        <v>0</v>
      </c>
      <c r="K50" s="5"/>
      <c r="L50" s="200"/>
      <c r="M50" s="200"/>
    </row>
    <row r="51" spans="2:13" ht="16.5" thickTop="1" thickBot="1" x14ac:dyDescent="0.25">
      <c r="B51" s="77" t="s">
        <v>163</v>
      </c>
      <c r="C51" s="40">
        <f t="shared" ref="C51:D51" si="20">SUM(C45:C50)</f>
        <v>-8526</v>
      </c>
      <c r="D51" s="40">
        <f t="shared" si="20"/>
        <v>2015</v>
      </c>
      <c r="E51" s="40">
        <f t="shared" ref="E51" si="21">SUM(E45:E50)</f>
        <v>-9145</v>
      </c>
      <c r="F51" s="40">
        <f t="shared" ref="F51:J51" si="22">SUM(F45:F50)</f>
        <v>-1396</v>
      </c>
      <c r="G51" s="40">
        <f t="shared" ref="G51:I51" si="23">SUM(G45:G50)</f>
        <v>10302</v>
      </c>
      <c r="H51" s="40">
        <f t="shared" ref="H51" si="24">SUM(H45:H50)</f>
        <v>-5724</v>
      </c>
      <c r="I51" s="40">
        <f t="shared" si="23"/>
        <v>11534</v>
      </c>
      <c r="J51" s="40">
        <f t="shared" si="22"/>
        <v>4492</v>
      </c>
      <c r="K51" s="5"/>
      <c r="L51" s="200"/>
      <c r="M51" s="200"/>
    </row>
    <row r="52" spans="2:13" ht="16.5" thickTop="1" thickBot="1" x14ac:dyDescent="0.25">
      <c r="B52" s="77" t="s">
        <v>87</v>
      </c>
      <c r="C52" s="40">
        <f t="shared" ref="C52:D52" si="25">C42+C51</f>
        <v>200448</v>
      </c>
      <c r="D52" s="40">
        <f t="shared" si="25"/>
        <v>81908</v>
      </c>
      <c r="E52" s="40">
        <f t="shared" ref="E52" si="26">E42+E51</f>
        <v>89126</v>
      </c>
      <c r="F52" s="40">
        <f t="shared" ref="F52:J52" si="27">F42+F51</f>
        <v>29414</v>
      </c>
      <c r="G52" s="40">
        <f t="shared" ref="G52:I52" si="28">G42+G51</f>
        <v>308984</v>
      </c>
      <c r="H52" s="40">
        <f t="shared" si="28"/>
        <v>77942</v>
      </c>
      <c r="I52" s="40">
        <f t="shared" si="28"/>
        <v>230938</v>
      </c>
      <c r="J52" s="40">
        <f t="shared" si="27"/>
        <v>104</v>
      </c>
      <c r="K52" s="5"/>
      <c r="L52" s="200"/>
      <c r="M52" s="200"/>
    </row>
    <row r="53" spans="2:13" ht="16.5" thickTop="1" thickBot="1" x14ac:dyDescent="0.25">
      <c r="B53" s="91"/>
      <c r="C53" s="41"/>
      <c r="D53" s="41"/>
      <c r="E53" s="41"/>
      <c r="F53" s="41"/>
      <c r="G53" s="41"/>
      <c r="H53" s="41"/>
      <c r="I53" s="41"/>
      <c r="J53" s="41"/>
      <c r="K53" s="5"/>
      <c r="L53" s="200"/>
      <c r="M53" s="200"/>
    </row>
    <row r="54" spans="2:13" ht="16.5" thickTop="1" thickBot="1" x14ac:dyDescent="0.25">
      <c r="B54" s="77" t="s">
        <v>153</v>
      </c>
      <c r="C54" s="41"/>
      <c r="D54" s="41"/>
      <c r="E54" s="41"/>
      <c r="F54" s="41"/>
      <c r="G54" s="41"/>
      <c r="H54" s="41"/>
      <c r="I54" s="41"/>
      <c r="J54" s="41"/>
      <c r="K54" s="5"/>
      <c r="L54" s="200"/>
      <c r="M54" s="200"/>
    </row>
    <row r="55" spans="2:13" ht="16.5" thickTop="1" thickBot="1" x14ac:dyDescent="0.25">
      <c r="B55" s="78" t="s">
        <v>154</v>
      </c>
      <c r="C55" s="56">
        <v>200412</v>
      </c>
      <c r="D55" s="56">
        <v>81885</v>
      </c>
      <c r="E55" s="56">
        <v>89110</v>
      </c>
      <c r="F55" s="56">
        <v>29417</v>
      </c>
      <c r="G55" s="56">
        <v>308842</v>
      </c>
      <c r="H55" s="56">
        <v>77922</v>
      </c>
      <c r="I55" s="56">
        <v>230813</v>
      </c>
      <c r="J55" s="56">
        <v>107</v>
      </c>
      <c r="K55" s="5"/>
      <c r="L55" s="200"/>
      <c r="M55" s="200"/>
    </row>
    <row r="56" spans="2:13" ht="16.5" thickTop="1" thickBot="1" x14ac:dyDescent="0.25">
      <c r="B56" s="78" t="s">
        <v>155</v>
      </c>
      <c r="C56" s="56">
        <v>36</v>
      </c>
      <c r="D56" s="56">
        <v>23</v>
      </c>
      <c r="E56" s="56">
        <v>16</v>
      </c>
      <c r="F56" s="56">
        <v>-3</v>
      </c>
      <c r="G56" s="56">
        <v>142</v>
      </c>
      <c r="H56" s="56">
        <v>20</v>
      </c>
      <c r="I56" s="56">
        <v>125</v>
      </c>
      <c r="J56" s="56">
        <v>-3</v>
      </c>
      <c r="K56" s="5"/>
      <c r="L56" s="200"/>
      <c r="M56" s="200"/>
    </row>
    <row r="57" spans="2:13" ht="16.5" thickTop="1" thickBot="1" x14ac:dyDescent="0.25">
      <c r="B57" s="92"/>
      <c r="C57" s="40">
        <f t="shared" ref="C57:I57" si="29">C55+C56</f>
        <v>200448</v>
      </c>
      <c r="D57" s="40">
        <f t="shared" si="29"/>
        <v>81908</v>
      </c>
      <c r="E57" s="40">
        <f t="shared" si="29"/>
        <v>89126</v>
      </c>
      <c r="F57" s="40">
        <f t="shared" si="29"/>
        <v>29414</v>
      </c>
      <c r="G57" s="40">
        <f t="shared" si="29"/>
        <v>308984</v>
      </c>
      <c r="H57" s="40">
        <f t="shared" ref="H57" si="30">H55+H56</f>
        <v>77942</v>
      </c>
      <c r="I57" s="40">
        <f t="shared" si="29"/>
        <v>230938</v>
      </c>
      <c r="J57" s="40">
        <f t="shared" ref="J57" si="31">J55+J56</f>
        <v>104</v>
      </c>
      <c r="K57" s="5"/>
      <c r="L57" s="200"/>
      <c r="M57" s="200"/>
    </row>
    <row r="58" spans="2:13" ht="16.5" thickTop="1" thickBot="1" x14ac:dyDescent="0.25">
      <c r="C58" s="41"/>
      <c r="D58" s="41"/>
      <c r="E58" s="41"/>
      <c r="F58" s="41"/>
      <c r="G58" s="41"/>
      <c r="H58" s="41"/>
      <c r="I58" s="41"/>
      <c r="J58" s="41"/>
    </row>
    <row r="59" spans="2:13" ht="15.75" thickTop="1" x14ac:dyDescent="0.2">
      <c r="C59" s="2"/>
      <c r="D59" s="2"/>
      <c r="E59" s="2"/>
    </row>
    <row r="60" spans="2:13" x14ac:dyDescent="0.2">
      <c r="C60" s="2"/>
      <c r="D60" s="2"/>
      <c r="E60" s="2"/>
    </row>
    <row r="61" spans="2:13" x14ac:dyDescent="0.2">
      <c r="C61" s="2"/>
      <c r="D61" s="2"/>
      <c r="E61" s="2"/>
    </row>
  </sheetData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78" orientation="landscape" horizontalDpi="4294967292" verticalDpi="4294967292" r:id="rId1"/>
  <colBreaks count="1" manualBreakCount="1">
    <brk id="10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70"/>
  <sheetViews>
    <sheetView showGridLines="0" zoomScaleNormal="100"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625" style="5" customWidth="1"/>
    <col min="6" max="6" width="14.875" style="2" customWidth="1"/>
    <col min="7" max="7" width="12.875" style="2" bestFit="1" customWidth="1"/>
    <col min="8" max="8" width="12.75" style="2" bestFit="1" customWidth="1"/>
    <col min="9" max="9" width="10.75" style="2" customWidth="1"/>
    <col min="10" max="16384" width="10.875" style="2"/>
  </cols>
  <sheetData>
    <row r="1" spans="1:10" ht="15.75" x14ac:dyDescent="0.25">
      <c r="A1" s="9" t="s">
        <v>8</v>
      </c>
    </row>
    <row r="2" spans="1:10" ht="15.75" x14ac:dyDescent="0.25">
      <c r="A2" s="9"/>
    </row>
    <row r="3" spans="1:10" ht="18.75" thickBot="1" x14ac:dyDescent="0.3">
      <c r="B3" s="14" t="s">
        <v>52</v>
      </c>
      <c r="C3" s="14"/>
      <c r="D3" s="14"/>
      <c r="E3" s="14"/>
    </row>
    <row r="4" spans="1:10" s="5" customFormat="1" ht="16.5" customHeight="1" thickTop="1" thickBot="1" x14ac:dyDescent="0.25">
      <c r="A4" s="11"/>
      <c r="B4" s="206" t="s">
        <v>144</v>
      </c>
      <c r="C4" s="208" t="s">
        <v>43</v>
      </c>
      <c r="D4" s="209"/>
      <c r="E4" s="209"/>
      <c r="F4" s="209"/>
    </row>
    <row r="5" spans="1:10" s="5" customFormat="1" ht="16.5" thickTop="1" thickBot="1" x14ac:dyDescent="0.25">
      <c r="A5" s="11"/>
      <c r="B5" s="207"/>
      <c r="C5" s="116">
        <v>43738</v>
      </c>
      <c r="D5" s="116">
        <v>43646</v>
      </c>
      <c r="E5" s="116">
        <v>43465</v>
      </c>
      <c r="F5" s="116">
        <v>43373</v>
      </c>
    </row>
    <row r="6" spans="1:10" s="5" customFormat="1" ht="16.5" thickTop="1" thickBot="1" x14ac:dyDescent="0.25">
      <c r="A6" s="10"/>
      <c r="B6" s="30" t="s">
        <v>0</v>
      </c>
      <c r="C6" s="40">
        <f>SUM(C7:C17)-C12-C8-C10</f>
        <v>2838690</v>
      </c>
      <c r="D6" s="40">
        <f>SUM(D7:D17)-D12-D8-D10</f>
        <v>2859926</v>
      </c>
      <c r="E6" s="40">
        <f>SUM(E7:E17)-E12-E8-E10</f>
        <v>2546642</v>
      </c>
      <c r="F6" s="40">
        <f>SUM(F7:F17)-F12-F8-F10</f>
        <v>2452470</v>
      </c>
      <c r="H6" s="113"/>
      <c r="I6" s="113"/>
      <c r="J6" s="113"/>
    </row>
    <row r="7" spans="1:10" s="5" customFormat="1" ht="16.5" thickTop="1" thickBot="1" x14ac:dyDescent="0.25">
      <c r="A7" s="11"/>
      <c r="B7" s="12" t="s">
        <v>235</v>
      </c>
      <c r="C7" s="69">
        <v>2668814</v>
      </c>
      <c r="D7" s="69">
        <v>2686627</v>
      </c>
      <c r="E7" s="69">
        <v>2415834</v>
      </c>
      <c r="F7" s="69">
        <v>2315669</v>
      </c>
      <c r="H7" s="113"/>
      <c r="I7" s="113"/>
      <c r="J7" s="113"/>
    </row>
    <row r="8" spans="1:10" s="5" customFormat="1" ht="16.5" thickTop="1" thickBot="1" x14ac:dyDescent="0.25">
      <c r="A8" s="11"/>
      <c r="B8" s="12" t="s">
        <v>236</v>
      </c>
      <c r="C8" s="69">
        <v>580084</v>
      </c>
      <c r="D8" s="69">
        <v>589456</v>
      </c>
      <c r="E8" s="69">
        <v>0</v>
      </c>
      <c r="F8" s="69">
        <v>0</v>
      </c>
      <c r="H8" s="113"/>
      <c r="I8" s="113"/>
      <c r="J8" s="113"/>
    </row>
    <row r="9" spans="1:10" s="5" customFormat="1" ht="16.5" thickTop="1" thickBot="1" x14ac:dyDescent="0.25">
      <c r="A9" s="11"/>
      <c r="B9" s="12" t="s">
        <v>237</v>
      </c>
      <c r="C9" s="69">
        <v>5029</v>
      </c>
      <c r="D9" s="69">
        <v>5103</v>
      </c>
      <c r="E9" s="69">
        <v>3538</v>
      </c>
      <c r="F9" s="69">
        <v>3837</v>
      </c>
      <c r="H9" s="113"/>
      <c r="I9" s="113"/>
      <c r="J9" s="113"/>
    </row>
    <row r="10" spans="1:10" s="5" customFormat="1" ht="16.5" thickTop="1" thickBot="1" x14ac:dyDescent="0.25">
      <c r="A10" s="11"/>
      <c r="B10" s="12" t="s">
        <v>236</v>
      </c>
      <c r="C10" s="69">
        <v>3787</v>
      </c>
      <c r="D10" s="69">
        <v>3800</v>
      </c>
      <c r="E10" s="69">
        <v>0</v>
      </c>
      <c r="F10" s="69">
        <v>0</v>
      </c>
      <c r="H10" s="113"/>
      <c r="I10" s="113"/>
      <c r="J10" s="113"/>
    </row>
    <row r="11" spans="1:10" s="5" customFormat="1" ht="16.5" thickTop="1" thickBot="1" x14ac:dyDescent="0.25">
      <c r="A11" s="11"/>
      <c r="B11" s="12" t="s">
        <v>44</v>
      </c>
      <c r="C11" s="69">
        <v>111023</v>
      </c>
      <c r="D11" s="69">
        <v>111195</v>
      </c>
      <c r="E11" s="69">
        <v>114831</v>
      </c>
      <c r="F11" s="69">
        <v>114600</v>
      </c>
      <c r="H11" s="113"/>
      <c r="I11" s="113"/>
      <c r="J11" s="113"/>
    </row>
    <row r="12" spans="1:10" s="5" customFormat="1" ht="16.5" thickTop="1" thickBot="1" x14ac:dyDescent="0.25">
      <c r="A12" s="11"/>
      <c r="B12" s="12" t="s">
        <v>238</v>
      </c>
      <c r="C12" s="69">
        <v>108717</v>
      </c>
      <c r="D12" s="69">
        <v>108606</v>
      </c>
      <c r="E12" s="69">
        <v>111682</v>
      </c>
      <c r="F12" s="69">
        <v>111647</v>
      </c>
      <c r="H12" s="113"/>
      <c r="I12" s="113"/>
      <c r="J12" s="113"/>
    </row>
    <row r="13" spans="1:10" s="5" customFormat="1" ht="16.5" hidden="1" thickTop="1" thickBot="1" x14ac:dyDescent="0.25">
      <c r="A13" s="11"/>
      <c r="B13" s="12" t="s">
        <v>132</v>
      </c>
      <c r="C13" s="69">
        <v>0</v>
      </c>
      <c r="D13" s="69">
        <v>0</v>
      </c>
      <c r="E13" s="69">
        <v>0</v>
      </c>
      <c r="F13" s="69"/>
      <c r="H13" s="113"/>
      <c r="I13" s="113"/>
      <c r="J13" s="113"/>
    </row>
    <row r="14" spans="1:10" s="5" customFormat="1" ht="16.5" thickTop="1" thickBot="1" x14ac:dyDescent="0.25">
      <c r="A14" s="11"/>
      <c r="B14" s="12" t="s">
        <v>218</v>
      </c>
      <c r="C14" s="69">
        <v>0</v>
      </c>
      <c r="D14" s="69">
        <v>377</v>
      </c>
      <c r="E14" s="69">
        <v>388</v>
      </c>
      <c r="F14" s="69">
        <v>0</v>
      </c>
      <c r="H14" s="113"/>
      <c r="I14" s="113"/>
      <c r="J14" s="113"/>
    </row>
    <row r="15" spans="1:10" s="5" customFormat="1" ht="16.5" thickTop="1" thickBot="1" x14ac:dyDescent="0.25">
      <c r="A15" s="10"/>
      <c r="B15" s="12" t="s">
        <v>45</v>
      </c>
      <c r="C15" s="69">
        <v>0</v>
      </c>
      <c r="D15" s="69">
        <v>0</v>
      </c>
      <c r="E15" s="69">
        <v>0</v>
      </c>
      <c r="F15" s="69">
        <v>6944</v>
      </c>
      <c r="H15" s="113"/>
      <c r="I15" s="113"/>
      <c r="J15" s="113"/>
    </row>
    <row r="16" spans="1:10" s="5" customFormat="1" ht="16.5" thickTop="1" thickBot="1" x14ac:dyDescent="0.25">
      <c r="A16" s="11"/>
      <c r="B16" s="12" t="s">
        <v>9</v>
      </c>
      <c r="C16" s="69">
        <v>52973</v>
      </c>
      <c r="D16" s="69">
        <v>55629</v>
      </c>
      <c r="E16" s="69">
        <v>10983</v>
      </c>
      <c r="F16" s="69">
        <v>10323</v>
      </c>
      <c r="H16" s="113"/>
      <c r="I16" s="113"/>
      <c r="J16" s="113"/>
    </row>
    <row r="17" spans="1:10" s="5" customFormat="1" ht="15.75" thickTop="1" x14ac:dyDescent="0.2">
      <c r="A17" s="11"/>
      <c r="B17" s="154" t="s">
        <v>170</v>
      </c>
      <c r="C17" s="69">
        <v>851</v>
      </c>
      <c r="D17" s="69">
        <v>995</v>
      </c>
      <c r="E17" s="69">
        <v>1068</v>
      </c>
      <c r="F17" s="69">
        <v>1097</v>
      </c>
      <c r="H17" s="113"/>
      <c r="I17" s="113"/>
      <c r="J17" s="113"/>
    </row>
    <row r="18" spans="1:10" s="5" customFormat="1" ht="15.75" thickBot="1" x14ac:dyDescent="0.25">
      <c r="A18" s="11"/>
      <c r="B18" s="34" t="s">
        <v>1</v>
      </c>
      <c r="C18" s="40">
        <f>SUM(C19:C25)</f>
        <v>838157</v>
      </c>
      <c r="D18" s="40">
        <f>SUM(D19:D25)</f>
        <v>746711</v>
      </c>
      <c r="E18" s="40">
        <f>SUM(E19:E25)</f>
        <v>663148</v>
      </c>
      <c r="F18" s="40">
        <f>SUM(F19:F25)</f>
        <v>634918</v>
      </c>
      <c r="H18" s="113"/>
      <c r="I18" s="113"/>
      <c r="J18" s="113"/>
    </row>
    <row r="19" spans="1:10" s="5" customFormat="1" ht="16.5" thickTop="1" thickBot="1" x14ac:dyDescent="0.25">
      <c r="A19" s="11"/>
      <c r="B19" s="12" t="s">
        <v>2</v>
      </c>
      <c r="C19" s="69">
        <v>6042</v>
      </c>
      <c r="D19" s="69">
        <v>6021</v>
      </c>
      <c r="E19" s="69">
        <v>6463</v>
      </c>
      <c r="F19" s="69">
        <v>5812</v>
      </c>
      <c r="H19" s="113"/>
      <c r="I19" s="113"/>
      <c r="J19" s="113"/>
    </row>
    <row r="20" spans="1:10" s="5" customFormat="1" ht="16.5" thickTop="1" thickBot="1" x14ac:dyDescent="0.25">
      <c r="A20" s="11"/>
      <c r="B20" s="12" t="s">
        <v>46</v>
      </c>
      <c r="C20" s="69">
        <v>67376</v>
      </c>
      <c r="D20" s="69">
        <v>74901</v>
      </c>
      <c r="E20" s="69">
        <v>69707</v>
      </c>
      <c r="F20" s="69">
        <v>97768</v>
      </c>
      <c r="H20" s="113"/>
      <c r="I20" s="113"/>
      <c r="J20" s="113"/>
    </row>
    <row r="21" spans="1:10" s="5" customFormat="1" ht="16.5" thickTop="1" thickBot="1" x14ac:dyDescent="0.25">
      <c r="A21" s="11"/>
      <c r="B21" s="12" t="s">
        <v>47</v>
      </c>
      <c r="C21" s="69">
        <v>3636</v>
      </c>
      <c r="D21" s="69">
        <v>5721</v>
      </c>
      <c r="E21" s="69">
        <v>4385</v>
      </c>
      <c r="F21" s="69">
        <v>569</v>
      </c>
      <c r="H21" s="113"/>
      <c r="I21" s="113"/>
      <c r="J21" s="113"/>
    </row>
    <row r="22" spans="1:10" s="5" customFormat="1" ht="16.5" thickTop="1" thickBot="1" x14ac:dyDescent="0.25">
      <c r="A22" s="11"/>
      <c r="B22" s="12" t="s">
        <v>48</v>
      </c>
      <c r="C22" s="69">
        <v>20372</v>
      </c>
      <c r="D22" s="69">
        <v>27949</v>
      </c>
      <c r="E22" s="69">
        <v>44759</v>
      </c>
      <c r="F22" s="69">
        <v>33607</v>
      </c>
      <c r="H22" s="113"/>
      <c r="I22" s="113"/>
      <c r="J22" s="113"/>
    </row>
    <row r="23" spans="1:10" s="5" customFormat="1" ht="16.5" hidden="1" thickTop="1" thickBot="1" x14ac:dyDescent="0.25">
      <c r="A23" s="11"/>
      <c r="B23" s="12" t="s">
        <v>49</v>
      </c>
      <c r="C23" s="69">
        <v>0</v>
      </c>
      <c r="D23" s="69">
        <v>0</v>
      </c>
      <c r="E23" s="69"/>
      <c r="F23" s="69"/>
      <c r="H23" s="113"/>
      <c r="I23" s="113"/>
      <c r="J23" s="113"/>
    </row>
    <row r="24" spans="1:10" s="5" customFormat="1" ht="16.5" hidden="1" thickTop="1" thickBot="1" x14ac:dyDescent="0.25">
      <c r="A24" s="11"/>
      <c r="B24" s="12" t="s">
        <v>171</v>
      </c>
      <c r="C24" s="69">
        <v>0</v>
      </c>
      <c r="D24" s="69">
        <v>0</v>
      </c>
      <c r="E24" s="69">
        <v>0</v>
      </c>
      <c r="F24" s="69">
        <v>0</v>
      </c>
      <c r="H24" s="113"/>
      <c r="I24" s="113"/>
      <c r="J24" s="113"/>
    </row>
    <row r="25" spans="1:10" s="5" customFormat="1" ht="15.75" thickTop="1" x14ac:dyDescent="0.2">
      <c r="A25" s="11"/>
      <c r="B25" s="154" t="s">
        <v>50</v>
      </c>
      <c r="C25" s="69">
        <v>740731</v>
      </c>
      <c r="D25" s="69">
        <v>632119</v>
      </c>
      <c r="E25" s="69">
        <v>537834</v>
      </c>
      <c r="F25" s="69">
        <v>497162</v>
      </c>
      <c r="H25" s="113"/>
      <c r="I25" s="113"/>
      <c r="J25" s="113"/>
    </row>
    <row r="26" spans="1:10" s="5" customFormat="1" ht="15.75" thickBot="1" x14ac:dyDescent="0.25">
      <c r="A26" s="11"/>
      <c r="B26" s="34" t="s">
        <v>239</v>
      </c>
      <c r="C26" s="40">
        <v>76734</v>
      </c>
      <c r="D26" s="40">
        <v>27406</v>
      </c>
      <c r="E26" s="40">
        <v>8690</v>
      </c>
      <c r="F26" s="40">
        <v>23210</v>
      </c>
      <c r="H26" s="113"/>
      <c r="I26" s="113"/>
      <c r="J26" s="113"/>
    </row>
    <row r="27" spans="1:10" s="5" customFormat="1" ht="16.5" thickTop="1" thickBot="1" x14ac:dyDescent="0.25">
      <c r="A27" s="11"/>
      <c r="B27" s="12" t="s">
        <v>236</v>
      </c>
      <c r="C27" s="69">
        <v>3075</v>
      </c>
      <c r="D27" s="69">
        <v>2647</v>
      </c>
      <c r="E27" s="69">
        <v>0</v>
      </c>
      <c r="F27" s="69">
        <v>0</v>
      </c>
      <c r="H27" s="113"/>
      <c r="I27" s="113"/>
      <c r="J27" s="113"/>
    </row>
    <row r="28" spans="1:10" s="5" customFormat="1" ht="16.5" thickTop="1" thickBot="1" x14ac:dyDescent="0.25">
      <c r="A28" s="11"/>
      <c r="B28" s="34" t="s">
        <v>51</v>
      </c>
      <c r="C28" s="40">
        <f>C6+C18+C26</f>
        <v>3753581</v>
      </c>
      <c r="D28" s="40">
        <f>D6+D18+D26</f>
        <v>3634043</v>
      </c>
      <c r="E28" s="40">
        <f>E6+E18+E26</f>
        <v>3218480</v>
      </c>
      <c r="F28" s="40">
        <f>F6+F18+F26</f>
        <v>3110598</v>
      </c>
      <c r="H28" s="113"/>
      <c r="I28" s="113"/>
      <c r="J28" s="113"/>
    </row>
    <row r="29" spans="1:10" s="5" customFormat="1" ht="16.5" thickTop="1" thickBot="1" x14ac:dyDescent="0.25">
      <c r="A29" s="11"/>
      <c r="B29" s="71"/>
      <c r="C29" s="153"/>
      <c r="D29" s="153"/>
      <c r="E29" s="153"/>
      <c r="F29" s="72"/>
      <c r="H29" s="113"/>
    </row>
    <row r="30" spans="1:10" s="5" customFormat="1" ht="16.5" customHeight="1" thickTop="1" thickBot="1" x14ac:dyDescent="0.25">
      <c r="A30" s="11"/>
      <c r="B30" s="206" t="s">
        <v>145</v>
      </c>
      <c r="C30" s="208" t="s">
        <v>43</v>
      </c>
      <c r="D30" s="209"/>
      <c r="E30" s="209"/>
      <c r="F30" s="209"/>
      <c r="H30" s="113"/>
    </row>
    <row r="31" spans="1:10" s="5" customFormat="1" ht="16.5" thickTop="1" thickBot="1" x14ac:dyDescent="0.25">
      <c r="A31" s="11"/>
      <c r="B31" s="207"/>
      <c r="C31" s="116">
        <f>C5</f>
        <v>43738</v>
      </c>
      <c r="D31" s="116">
        <f>D5</f>
        <v>43646</v>
      </c>
      <c r="E31" s="116">
        <f>E5</f>
        <v>43465</v>
      </c>
      <c r="F31" s="116">
        <f>F5</f>
        <v>43373</v>
      </c>
      <c r="H31" s="113"/>
    </row>
    <row r="32" spans="1:10" s="5" customFormat="1" ht="16.5" thickTop="1" thickBot="1" x14ac:dyDescent="0.25">
      <c r="A32" s="11"/>
      <c r="B32" s="30" t="s">
        <v>53</v>
      </c>
      <c r="C32" s="40">
        <f>+C33+C38</f>
        <v>2387720</v>
      </c>
      <c r="D32" s="40">
        <f>+D33+D38</f>
        <v>2305812</v>
      </c>
      <c r="E32" s="40">
        <f>+E33+E38</f>
        <v>2386786</v>
      </c>
      <c r="F32" s="40">
        <f>+F33+F38</f>
        <v>2314975</v>
      </c>
      <c r="H32" s="113"/>
      <c r="I32" s="113"/>
      <c r="J32" s="113"/>
    </row>
    <row r="33" spans="1:10" s="5" customFormat="1" ht="16.5" thickTop="1" thickBot="1" x14ac:dyDescent="0.25">
      <c r="A33" s="11"/>
      <c r="B33" s="34" t="s">
        <v>54</v>
      </c>
      <c r="C33" s="40">
        <f>SUM(C34:C37)</f>
        <v>2387323</v>
      </c>
      <c r="D33" s="40">
        <f>SUM(D34:D37)</f>
        <v>2305438</v>
      </c>
      <c r="E33" s="40">
        <f>SUM(E34:E37)</f>
        <v>2386425</v>
      </c>
      <c r="F33" s="40">
        <f>SUM(F34:F37)</f>
        <v>2314632</v>
      </c>
      <c r="H33" s="113"/>
      <c r="I33" s="113"/>
      <c r="J33" s="113"/>
    </row>
    <row r="34" spans="1:10" s="5" customFormat="1" ht="16.5" thickTop="1" thickBot="1" x14ac:dyDescent="0.25">
      <c r="A34" s="11"/>
      <c r="B34" s="12" t="s">
        <v>55</v>
      </c>
      <c r="C34" s="69">
        <v>517754</v>
      </c>
      <c r="D34" s="69">
        <v>517754</v>
      </c>
      <c r="E34" s="69">
        <v>517754</v>
      </c>
      <c r="F34" s="73">
        <v>517754</v>
      </c>
      <c r="H34" s="113"/>
      <c r="I34" s="113"/>
      <c r="J34" s="113"/>
    </row>
    <row r="35" spans="1:10" s="5" customFormat="1" ht="16.5" thickTop="1" thickBot="1" x14ac:dyDescent="0.25">
      <c r="A35" s="11"/>
      <c r="B35" s="12" t="s">
        <v>56</v>
      </c>
      <c r="C35" s="69">
        <v>133333</v>
      </c>
      <c r="D35" s="69">
        <v>133333</v>
      </c>
      <c r="E35" s="69">
        <v>133333</v>
      </c>
      <c r="F35" s="73">
        <v>133333</v>
      </c>
      <c r="H35" s="113"/>
      <c r="I35" s="113"/>
      <c r="J35" s="113"/>
    </row>
    <row r="36" spans="1:10" s="5" customFormat="1" ht="16.5" thickTop="1" thickBot="1" x14ac:dyDescent="0.25">
      <c r="A36" s="10"/>
      <c r="B36" s="12" t="s">
        <v>57</v>
      </c>
      <c r="C36" s="69">
        <v>1737073</v>
      </c>
      <c r="D36" s="69">
        <v>1657206</v>
      </c>
      <c r="E36" s="69">
        <v>1727659</v>
      </c>
      <c r="F36" s="73">
        <v>1664017</v>
      </c>
      <c r="H36" s="113"/>
      <c r="I36" s="113"/>
      <c r="J36" s="113"/>
    </row>
    <row r="37" spans="1:10" s="5" customFormat="1" ht="15.75" thickTop="1" x14ac:dyDescent="0.2">
      <c r="A37" s="11"/>
      <c r="B37" s="154" t="s">
        <v>58</v>
      </c>
      <c r="C37" s="69">
        <v>-837</v>
      </c>
      <c r="D37" s="69">
        <v>-2855</v>
      </c>
      <c r="E37" s="69">
        <v>7679</v>
      </c>
      <c r="F37" s="73">
        <v>-472</v>
      </c>
      <c r="H37" s="113"/>
      <c r="I37" s="113"/>
      <c r="J37" s="113"/>
    </row>
    <row r="38" spans="1:10" s="5" customFormat="1" ht="15.75" thickBot="1" x14ac:dyDescent="0.25">
      <c r="A38" s="11"/>
      <c r="B38" s="34" t="s">
        <v>59</v>
      </c>
      <c r="C38" s="40">
        <v>397</v>
      </c>
      <c r="D38" s="40">
        <v>374</v>
      </c>
      <c r="E38" s="40">
        <v>361</v>
      </c>
      <c r="F38" s="40">
        <v>343</v>
      </c>
      <c r="H38" s="113"/>
      <c r="I38" s="113"/>
      <c r="J38" s="113"/>
    </row>
    <row r="39" spans="1:10" s="5" customFormat="1" ht="16.5" thickTop="1" thickBot="1" x14ac:dyDescent="0.25">
      <c r="A39" s="11"/>
      <c r="B39" s="34" t="s">
        <v>3</v>
      </c>
      <c r="C39" s="40">
        <f>SUM(C40:C48)</f>
        <v>712261</v>
      </c>
      <c r="D39" s="40">
        <f>SUM(D40:D48)</f>
        <v>717928</v>
      </c>
      <c r="E39" s="40">
        <f>SUM(E40:E48)</f>
        <v>545411</v>
      </c>
      <c r="F39" s="40">
        <f>SUM(F40:F48)</f>
        <v>547812</v>
      </c>
      <c r="H39" s="113"/>
      <c r="I39" s="113"/>
      <c r="J39" s="113"/>
    </row>
    <row r="40" spans="1:10" s="5" customFormat="1" ht="16.5" hidden="1" thickTop="1" thickBot="1" x14ac:dyDescent="0.25">
      <c r="A40" s="11"/>
      <c r="B40" s="12" t="s">
        <v>22</v>
      </c>
      <c r="C40" s="69">
        <v>0</v>
      </c>
      <c r="D40" s="69">
        <v>0</v>
      </c>
      <c r="E40" s="69">
        <v>0</v>
      </c>
      <c r="F40" s="73">
        <v>0</v>
      </c>
      <c r="H40" s="113"/>
      <c r="I40" s="113"/>
      <c r="J40" s="113"/>
    </row>
    <row r="41" spans="1:10" s="5" customFormat="1" ht="16.5" thickTop="1" thickBot="1" x14ac:dyDescent="0.25">
      <c r="A41" s="11"/>
      <c r="B41" s="12" t="s">
        <v>146</v>
      </c>
      <c r="C41" s="69">
        <v>200840</v>
      </c>
      <c r="D41" s="69">
        <v>202205</v>
      </c>
      <c r="E41" s="69">
        <v>502111</v>
      </c>
      <c r="F41" s="73">
        <v>502655</v>
      </c>
      <c r="H41" s="113"/>
      <c r="I41" s="113"/>
      <c r="J41" s="113"/>
    </row>
    <row r="42" spans="1:10" s="5" customFormat="1" ht="16.5" thickTop="1" thickBot="1" x14ac:dyDescent="0.25">
      <c r="A42" s="11"/>
      <c r="B42" s="12" t="s">
        <v>225</v>
      </c>
      <c r="C42" s="69">
        <v>481031</v>
      </c>
      <c r="D42" s="69">
        <v>485102</v>
      </c>
      <c r="E42" s="69">
        <v>0</v>
      </c>
      <c r="F42" s="73">
        <v>0</v>
      </c>
      <c r="H42" s="113"/>
      <c r="I42" s="113"/>
      <c r="J42" s="113"/>
    </row>
    <row r="43" spans="1:10" s="5" customFormat="1" ht="16.5" thickTop="1" thickBot="1" x14ac:dyDescent="0.25">
      <c r="A43" s="11"/>
      <c r="B43" s="12" t="s">
        <v>4</v>
      </c>
      <c r="C43" s="69">
        <v>162</v>
      </c>
      <c r="D43" s="69">
        <v>549</v>
      </c>
      <c r="E43" s="69">
        <v>196</v>
      </c>
      <c r="F43" s="73">
        <v>1905</v>
      </c>
      <c r="H43" s="113"/>
      <c r="I43" s="113"/>
      <c r="J43" s="113"/>
    </row>
    <row r="44" spans="1:10" s="5" customFormat="1" ht="16.5" thickTop="1" thickBot="1" x14ac:dyDescent="0.25">
      <c r="A44" s="11"/>
      <c r="B44" s="12" t="s">
        <v>219</v>
      </c>
      <c r="C44" s="69">
        <v>0</v>
      </c>
      <c r="D44" s="69">
        <v>0</v>
      </c>
      <c r="E44" s="69">
        <v>2097</v>
      </c>
      <c r="F44" s="178">
        <v>1901</v>
      </c>
      <c r="H44" s="113"/>
      <c r="I44" s="113"/>
      <c r="J44" s="113"/>
    </row>
    <row r="45" spans="1:10" ht="16.5" thickTop="1" thickBot="1" x14ac:dyDescent="0.25">
      <c r="B45" s="12" t="s">
        <v>60</v>
      </c>
      <c r="C45" s="69">
        <v>0</v>
      </c>
      <c r="D45" s="69">
        <v>0</v>
      </c>
      <c r="E45" s="69">
        <v>10928</v>
      </c>
      <c r="F45" s="178">
        <v>10978</v>
      </c>
      <c r="G45" s="5"/>
      <c r="H45" s="113"/>
      <c r="I45" s="113"/>
      <c r="J45" s="113"/>
    </row>
    <row r="46" spans="1:10" ht="16.5" thickTop="1" thickBot="1" x14ac:dyDescent="0.25">
      <c r="B46" s="12" t="s">
        <v>61</v>
      </c>
      <c r="C46" s="69">
        <v>6918</v>
      </c>
      <c r="D46" s="69">
        <v>7084</v>
      </c>
      <c r="E46" s="69">
        <v>7200</v>
      </c>
      <c r="F46" s="178">
        <v>6236</v>
      </c>
      <c r="G46" s="5"/>
      <c r="H46" s="113"/>
      <c r="I46" s="113"/>
      <c r="J46" s="113"/>
    </row>
    <row r="47" spans="1:10" ht="16.5" thickTop="1" thickBot="1" x14ac:dyDescent="0.25">
      <c r="B47" s="12" t="s">
        <v>12</v>
      </c>
      <c r="C47" s="69">
        <v>21283</v>
      </c>
      <c r="D47" s="69">
        <v>21285</v>
      </c>
      <c r="E47" s="69">
        <v>21341</v>
      </c>
      <c r="F47" s="73">
        <v>18771</v>
      </c>
      <c r="G47" s="5"/>
      <c r="H47" s="113"/>
      <c r="I47" s="113"/>
      <c r="J47" s="113"/>
    </row>
    <row r="48" spans="1:10" ht="15.75" thickTop="1" x14ac:dyDescent="0.2">
      <c r="B48" s="154" t="s">
        <v>11</v>
      </c>
      <c r="C48" s="69">
        <v>2027</v>
      </c>
      <c r="D48" s="69">
        <v>1703</v>
      </c>
      <c r="E48" s="69">
        <v>1538</v>
      </c>
      <c r="F48" s="73">
        <v>5366</v>
      </c>
      <c r="G48" s="5"/>
      <c r="H48" s="113"/>
      <c r="I48" s="113"/>
      <c r="J48" s="113"/>
    </row>
    <row r="49" spans="1:10" ht="15.75" thickBot="1" x14ac:dyDescent="0.25">
      <c r="B49" s="34" t="s">
        <v>5</v>
      </c>
      <c r="C49" s="40">
        <f>SUM(C50:C61)</f>
        <v>638250</v>
      </c>
      <c r="D49" s="40">
        <f>SUM(D50:D61)</f>
        <v>598373</v>
      </c>
      <c r="E49" s="40">
        <f>SUM(E50:E61)</f>
        <v>286283</v>
      </c>
      <c r="F49" s="40">
        <f>SUM(F50:F61)</f>
        <v>247811</v>
      </c>
      <c r="G49" s="5"/>
      <c r="H49" s="113"/>
      <c r="I49" s="113"/>
      <c r="J49" s="113"/>
    </row>
    <row r="50" spans="1:10" ht="16.5" hidden="1" thickTop="1" thickBot="1" x14ac:dyDescent="0.25">
      <c r="B50" s="12" t="s">
        <v>62</v>
      </c>
      <c r="C50" s="69">
        <v>0</v>
      </c>
      <c r="D50" s="69">
        <v>0</v>
      </c>
      <c r="E50" s="69">
        <v>0</v>
      </c>
      <c r="F50" s="73">
        <v>0</v>
      </c>
      <c r="G50" s="5"/>
      <c r="H50" s="113"/>
      <c r="I50" s="113"/>
      <c r="J50" s="113"/>
    </row>
    <row r="51" spans="1:10" ht="16.5" thickTop="1" thickBot="1" x14ac:dyDescent="0.25">
      <c r="B51" s="12" t="s">
        <v>146</v>
      </c>
      <c r="C51" s="69">
        <v>302149</v>
      </c>
      <c r="D51" s="69">
        <v>300008</v>
      </c>
      <c r="E51" s="69">
        <v>0</v>
      </c>
      <c r="F51" s="73">
        <v>0</v>
      </c>
      <c r="G51" s="5"/>
      <c r="H51" s="113"/>
      <c r="I51" s="113"/>
      <c r="J51" s="113"/>
    </row>
    <row r="52" spans="1:10" ht="16.5" thickTop="1" thickBot="1" x14ac:dyDescent="0.25">
      <c r="B52" s="12" t="s">
        <v>225</v>
      </c>
      <c r="C52" s="69">
        <v>49339</v>
      </c>
      <c r="D52" s="69">
        <v>45360</v>
      </c>
      <c r="E52" s="69">
        <v>0</v>
      </c>
      <c r="F52" s="73">
        <v>0</v>
      </c>
      <c r="G52" s="5"/>
      <c r="H52" s="113"/>
      <c r="I52" s="113"/>
      <c r="J52" s="113"/>
    </row>
    <row r="53" spans="1:10" ht="16.5" hidden="1" thickTop="1" thickBot="1" x14ac:dyDescent="0.25">
      <c r="B53" s="12" t="s">
        <v>150</v>
      </c>
      <c r="C53" s="69">
        <v>0</v>
      </c>
      <c r="D53" s="69">
        <v>0</v>
      </c>
      <c r="E53" s="69">
        <v>0</v>
      </c>
      <c r="F53" s="73">
        <v>0</v>
      </c>
      <c r="G53" s="5"/>
      <c r="H53" s="113"/>
      <c r="I53" s="113"/>
      <c r="J53" s="113"/>
    </row>
    <row r="54" spans="1:10" ht="16.5" thickTop="1" thickBot="1" x14ac:dyDescent="0.25">
      <c r="B54" s="12" t="s">
        <v>63</v>
      </c>
      <c r="C54" s="69">
        <v>87972</v>
      </c>
      <c r="D54" s="69">
        <v>84465</v>
      </c>
      <c r="E54" s="69">
        <v>80706</v>
      </c>
      <c r="F54" s="73">
        <v>80570</v>
      </c>
      <c r="G54" s="5"/>
      <c r="H54" s="113"/>
      <c r="I54" s="113"/>
      <c r="J54" s="113"/>
    </row>
    <row r="55" spans="1:10" ht="16.5" thickTop="1" thickBot="1" x14ac:dyDescent="0.25">
      <c r="B55" s="12" t="s">
        <v>64</v>
      </c>
      <c r="C55" s="69">
        <v>16107</v>
      </c>
      <c r="D55" s="69">
        <v>16304</v>
      </c>
      <c r="E55" s="69">
        <v>73595</v>
      </c>
      <c r="F55" s="73">
        <v>12107</v>
      </c>
      <c r="G55" s="5"/>
      <c r="H55" s="113"/>
      <c r="I55" s="113"/>
      <c r="J55" s="113"/>
    </row>
    <row r="56" spans="1:10" ht="16.5" thickTop="1" thickBot="1" x14ac:dyDescent="0.25">
      <c r="B56" s="12" t="s">
        <v>65</v>
      </c>
      <c r="C56" s="69">
        <v>29059</v>
      </c>
      <c r="D56" s="69">
        <v>8313</v>
      </c>
      <c r="E56" s="69">
        <v>13603</v>
      </c>
      <c r="F56" s="73">
        <v>21360</v>
      </c>
      <c r="G56" s="5"/>
      <c r="H56" s="113"/>
      <c r="I56" s="113"/>
      <c r="J56" s="113"/>
    </row>
    <row r="57" spans="1:10" ht="16.5" thickTop="1" thickBot="1" x14ac:dyDescent="0.25">
      <c r="B57" s="12" t="s">
        <v>219</v>
      </c>
      <c r="C57" s="69">
        <v>49161</v>
      </c>
      <c r="D57" s="69">
        <v>57990</v>
      </c>
      <c r="E57" s="69">
        <v>30779</v>
      </c>
      <c r="F57" s="178">
        <v>47602</v>
      </c>
      <c r="G57" s="5"/>
      <c r="H57" s="113"/>
      <c r="I57" s="113"/>
      <c r="J57" s="113"/>
    </row>
    <row r="58" spans="1:10" ht="16.5" thickTop="1" thickBot="1" x14ac:dyDescent="0.25">
      <c r="B58" s="12" t="s">
        <v>60</v>
      </c>
      <c r="C58" s="69">
        <v>3727</v>
      </c>
      <c r="D58" s="69">
        <v>2800</v>
      </c>
      <c r="E58" s="69">
        <v>6735</v>
      </c>
      <c r="F58" s="178">
        <v>6702</v>
      </c>
      <c r="G58" s="5"/>
      <c r="H58" s="113"/>
      <c r="I58" s="113"/>
      <c r="J58" s="113"/>
    </row>
    <row r="59" spans="1:10" ht="16.5" thickTop="1" thickBot="1" x14ac:dyDescent="0.25">
      <c r="B59" s="12" t="s">
        <v>66</v>
      </c>
      <c r="C59" s="69">
        <v>95979</v>
      </c>
      <c r="D59" s="69">
        <v>78446</v>
      </c>
      <c r="E59" s="69">
        <v>76124</v>
      </c>
      <c r="F59" s="73">
        <v>75368</v>
      </c>
      <c r="G59" s="5"/>
      <c r="H59" s="113"/>
      <c r="I59" s="113"/>
      <c r="J59" s="113"/>
    </row>
    <row r="60" spans="1:10" ht="16.5" thickTop="1" thickBot="1" x14ac:dyDescent="0.25">
      <c r="B60" s="12" t="s">
        <v>12</v>
      </c>
      <c r="C60" s="69">
        <v>3503</v>
      </c>
      <c r="D60" s="69">
        <v>3503</v>
      </c>
      <c r="E60" s="69">
        <v>3389</v>
      </c>
      <c r="F60" s="73">
        <v>2962</v>
      </c>
      <c r="G60" s="5"/>
      <c r="H60" s="113"/>
      <c r="I60" s="113"/>
      <c r="J60" s="113"/>
    </row>
    <row r="61" spans="1:10" ht="16.5" thickTop="1" thickBot="1" x14ac:dyDescent="0.25">
      <c r="B61" s="156" t="s">
        <v>11</v>
      </c>
      <c r="C61" s="69">
        <v>1254</v>
      </c>
      <c r="D61" s="69">
        <v>1184</v>
      </c>
      <c r="E61" s="69">
        <v>1352</v>
      </c>
      <c r="F61" s="41">
        <v>1140</v>
      </c>
      <c r="G61" s="5"/>
      <c r="H61" s="113"/>
      <c r="I61" s="113"/>
      <c r="J61" s="113"/>
    </row>
    <row r="62" spans="1:10" ht="16.5" thickTop="1" thickBot="1" x14ac:dyDescent="0.25">
      <c r="B62" s="34" t="s">
        <v>250</v>
      </c>
      <c r="C62" s="40">
        <v>15350</v>
      </c>
      <c r="D62" s="40">
        <v>11930</v>
      </c>
      <c r="E62" s="40">
        <v>0</v>
      </c>
      <c r="F62" s="40">
        <v>0</v>
      </c>
      <c r="G62" s="5"/>
      <c r="H62" s="113"/>
      <c r="I62" s="113"/>
      <c r="J62" s="113"/>
    </row>
    <row r="63" spans="1:10" s="5" customFormat="1" ht="16.5" thickTop="1" thickBot="1" x14ac:dyDescent="0.25">
      <c r="A63" s="11"/>
      <c r="B63" s="12" t="s">
        <v>249</v>
      </c>
      <c r="C63" s="69">
        <v>3058</v>
      </c>
      <c r="D63" s="69">
        <v>2597</v>
      </c>
      <c r="E63" s="69">
        <v>0</v>
      </c>
      <c r="F63" s="69">
        <v>0</v>
      </c>
      <c r="H63" s="113"/>
      <c r="I63" s="113"/>
      <c r="J63" s="113"/>
    </row>
    <row r="64" spans="1:10" ht="16.5" thickTop="1" thickBot="1" x14ac:dyDescent="0.25">
      <c r="B64" s="34" t="s">
        <v>67</v>
      </c>
      <c r="C64" s="40">
        <f>C32+C39+C49+C62</f>
        <v>3753581</v>
      </c>
      <c r="D64" s="40">
        <f>D32+D39+D49+D62</f>
        <v>3634043</v>
      </c>
      <c r="E64" s="40">
        <f>E32+E39+E49+E62</f>
        <v>3218480</v>
      </c>
      <c r="F64" s="40">
        <f>F32+F39+F49+F62</f>
        <v>3110598</v>
      </c>
      <c r="G64" s="5"/>
      <c r="H64" s="113"/>
      <c r="I64" s="113"/>
      <c r="J64" s="113"/>
    </row>
    <row r="65" spans="2:8" ht="15.75" thickTop="1" x14ac:dyDescent="0.2">
      <c r="B65" s="23"/>
      <c r="C65" s="162">
        <f>C28-C64</f>
        <v>0</v>
      </c>
      <c r="D65" s="162">
        <f>D28-D64</f>
        <v>0</v>
      </c>
      <c r="E65" s="162">
        <f>E28-E64</f>
        <v>0</v>
      </c>
      <c r="F65" s="162">
        <f>F28-F64</f>
        <v>0</v>
      </c>
      <c r="H65" s="114"/>
    </row>
    <row r="66" spans="2:8" x14ac:dyDescent="0.2">
      <c r="F66" s="88"/>
      <c r="H66" s="114"/>
    </row>
    <row r="67" spans="2:8" x14ac:dyDescent="0.2">
      <c r="H67" s="114"/>
    </row>
    <row r="68" spans="2:8" x14ac:dyDescent="0.2">
      <c r="H68" s="114"/>
    </row>
    <row r="69" spans="2:8" x14ac:dyDescent="0.2">
      <c r="H69" s="114"/>
    </row>
    <row r="70" spans="2:8" x14ac:dyDescent="0.2">
      <c r="H70" s="114"/>
    </row>
  </sheetData>
  <mergeCells count="4">
    <mergeCell ref="B30:B31"/>
    <mergeCell ref="B4:B5"/>
    <mergeCell ref="C4:F4"/>
    <mergeCell ref="C30:F30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3" orientation="portrait" horizontalDpi="4294967292" verticalDpi="4294967292" r:id="rId1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38"/>
  <sheetViews>
    <sheetView zoomScaleNormal="100"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6" width="18.875" style="2" customWidth="1"/>
    <col min="7" max="8" width="14.875" style="2" customWidth="1"/>
    <col min="9" max="9" width="11.25" style="124" bestFit="1" customWidth="1"/>
    <col min="10" max="16384" width="10.875" style="2"/>
  </cols>
  <sheetData>
    <row r="1" spans="1:19" ht="15.75" x14ac:dyDescent="0.25">
      <c r="A1" s="9" t="s">
        <v>8</v>
      </c>
    </row>
    <row r="2" spans="1:19" ht="15.75" x14ac:dyDescent="0.25">
      <c r="A2" s="9"/>
    </row>
    <row r="3" spans="1:19" ht="18.75" thickBot="1" x14ac:dyDescent="0.3">
      <c r="B3" s="14" t="s">
        <v>83</v>
      </c>
    </row>
    <row r="4" spans="1:19" ht="33.950000000000003" customHeight="1" thickTop="1" thickBot="1" x14ac:dyDescent="0.25">
      <c r="B4" s="215"/>
      <c r="C4" s="217" t="s">
        <v>54</v>
      </c>
      <c r="D4" s="218"/>
      <c r="E4" s="218"/>
      <c r="F4" s="219"/>
      <c r="G4" s="213" t="s">
        <v>59</v>
      </c>
      <c r="H4" s="213" t="s">
        <v>31</v>
      </c>
    </row>
    <row r="5" spans="1:19" ht="63" customHeight="1" thickTop="1" thickBot="1" x14ac:dyDescent="0.25">
      <c r="B5" s="216"/>
      <c r="C5" s="58" t="s">
        <v>55</v>
      </c>
      <c r="D5" s="58" t="s">
        <v>56</v>
      </c>
      <c r="E5" s="58" t="s">
        <v>88</v>
      </c>
      <c r="F5" s="58" t="s">
        <v>224</v>
      </c>
      <c r="G5" s="214"/>
      <c r="H5" s="214"/>
    </row>
    <row r="6" spans="1:19" ht="16.5" thickTop="1" thickBot="1" x14ac:dyDescent="0.25">
      <c r="B6" s="210" t="s">
        <v>216</v>
      </c>
      <c r="C6" s="211"/>
      <c r="D6" s="211"/>
      <c r="E6" s="211"/>
      <c r="F6" s="212"/>
      <c r="G6" s="59"/>
      <c r="H6" s="59"/>
    </row>
    <row r="7" spans="1:19" ht="16.5" thickTop="1" thickBot="1" x14ac:dyDescent="0.25">
      <c r="B7" s="34" t="s">
        <v>188</v>
      </c>
      <c r="C7" s="60">
        <v>517754</v>
      </c>
      <c r="D7" s="60">
        <v>133272</v>
      </c>
      <c r="E7" s="60">
        <v>1440378</v>
      </c>
      <c r="F7" s="60">
        <v>-10728</v>
      </c>
      <c r="G7" s="60">
        <v>201</v>
      </c>
      <c r="H7" s="62">
        <f t="shared" ref="H7:H14" si="0">SUM(C7:G7)</f>
        <v>2080877</v>
      </c>
    </row>
    <row r="8" spans="1:19" ht="16.5" thickTop="1" thickBot="1" x14ac:dyDescent="0.25">
      <c r="B8" s="119" t="s">
        <v>190</v>
      </c>
      <c r="C8" s="56">
        <v>0</v>
      </c>
      <c r="D8" s="56">
        <v>0</v>
      </c>
      <c r="E8" s="143">
        <v>-1227</v>
      </c>
      <c r="F8" s="56">
        <v>0</v>
      </c>
      <c r="G8" s="56">
        <v>0</v>
      </c>
      <c r="H8" s="64">
        <f t="shared" ref="H8:H9" si="1">SUM(C8:G8)</f>
        <v>-1227</v>
      </c>
    </row>
    <row r="9" spans="1:19" ht="16.5" thickTop="1" thickBot="1" x14ac:dyDescent="0.25">
      <c r="B9" s="34" t="s">
        <v>189</v>
      </c>
      <c r="C9" s="53">
        <f>SUM(C7:C8)</f>
        <v>517754</v>
      </c>
      <c r="D9" s="53">
        <f>SUM(D7:D8)</f>
        <v>133272</v>
      </c>
      <c r="E9" s="53">
        <f>SUM(E7:E8)</f>
        <v>1439151</v>
      </c>
      <c r="F9" s="53">
        <f>SUM(F7:F8)</f>
        <v>-10728</v>
      </c>
      <c r="G9" s="53">
        <f>SUM(G7:G8)</f>
        <v>201</v>
      </c>
      <c r="H9" s="62">
        <f t="shared" si="1"/>
        <v>2079650</v>
      </c>
    </row>
    <row r="10" spans="1:19" ht="16.5" thickTop="1" thickBot="1" x14ac:dyDescent="0.25">
      <c r="B10" s="12" t="s">
        <v>84</v>
      </c>
      <c r="C10" s="56">
        <v>0</v>
      </c>
      <c r="D10" s="56">
        <v>0</v>
      </c>
      <c r="E10" s="63">
        <v>363198</v>
      </c>
      <c r="F10" s="63">
        <v>0</v>
      </c>
      <c r="G10" s="63">
        <v>160</v>
      </c>
      <c r="H10" s="64">
        <f t="shared" si="0"/>
        <v>363358</v>
      </c>
    </row>
    <row r="11" spans="1:19" ht="16.5" thickTop="1" thickBot="1" x14ac:dyDescent="0.25">
      <c r="B11" s="12" t="s">
        <v>85</v>
      </c>
      <c r="C11" s="56">
        <v>0</v>
      </c>
      <c r="D11" s="56">
        <v>61</v>
      </c>
      <c r="E11" s="63">
        <v>-967</v>
      </c>
      <c r="F11" s="63">
        <v>18407</v>
      </c>
      <c r="G11" s="115">
        <v>0</v>
      </c>
      <c r="H11" s="64">
        <f t="shared" si="0"/>
        <v>17501</v>
      </c>
    </row>
    <row r="12" spans="1:19" ht="16.5" thickTop="1" thickBot="1" x14ac:dyDescent="0.25">
      <c r="B12" s="34" t="s">
        <v>87</v>
      </c>
      <c r="C12" s="53">
        <f>SUM(C10:C11)</f>
        <v>0</v>
      </c>
      <c r="D12" s="53">
        <f>SUM(D10:D11)</f>
        <v>61</v>
      </c>
      <c r="E12" s="53">
        <f>SUM(E10:E11)</f>
        <v>362231</v>
      </c>
      <c r="F12" s="53">
        <f>SUM(F10:F11)</f>
        <v>18407</v>
      </c>
      <c r="G12" s="53">
        <f>SUM(G10:G11)</f>
        <v>160</v>
      </c>
      <c r="H12" s="62">
        <f t="shared" si="0"/>
        <v>380859</v>
      </c>
    </row>
    <row r="13" spans="1:19" ht="16.5" thickTop="1" thickBot="1" x14ac:dyDescent="0.25">
      <c r="B13" s="65" t="s">
        <v>86</v>
      </c>
      <c r="C13" s="66">
        <v>0</v>
      </c>
      <c r="D13" s="66">
        <v>0</v>
      </c>
      <c r="E13" s="67">
        <v>-73723</v>
      </c>
      <c r="F13" s="67">
        <v>0</v>
      </c>
      <c r="G13" s="67">
        <v>0</v>
      </c>
      <c r="H13" s="64">
        <f t="shared" si="0"/>
        <v>-73723</v>
      </c>
    </row>
    <row r="14" spans="1:19" ht="16.5" thickTop="1" thickBot="1" x14ac:dyDescent="0.25">
      <c r="B14" s="34" t="s">
        <v>217</v>
      </c>
      <c r="C14" s="53">
        <f>C9+SUM(C12:C13)</f>
        <v>517754</v>
      </c>
      <c r="D14" s="53">
        <f>D9+SUM(D12:D13)</f>
        <v>133333</v>
      </c>
      <c r="E14" s="53">
        <f>E9+SUM(E12:E13)</f>
        <v>1727659</v>
      </c>
      <c r="F14" s="53">
        <f>F9+SUM(F12:F13)</f>
        <v>7679</v>
      </c>
      <c r="G14" s="53">
        <f>G9+SUM(G12:G13)</f>
        <v>361</v>
      </c>
      <c r="H14" s="62">
        <f t="shared" si="0"/>
        <v>2386786</v>
      </c>
      <c r="I14" s="125"/>
    </row>
    <row r="15" spans="1:19" ht="16.5" thickTop="1" thickBot="1" x14ac:dyDescent="0.25">
      <c r="B15" s="210" t="s">
        <v>261</v>
      </c>
      <c r="C15" s="211"/>
      <c r="D15" s="211"/>
      <c r="E15" s="211"/>
      <c r="F15" s="212"/>
      <c r="G15" s="68"/>
      <c r="H15" s="68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6.5" thickTop="1" thickBot="1" x14ac:dyDescent="0.25">
      <c r="B16" s="34" t="s">
        <v>188</v>
      </c>
      <c r="C16" s="53">
        <f>C7</f>
        <v>517754</v>
      </c>
      <c r="D16" s="53">
        <f>D7</f>
        <v>133272</v>
      </c>
      <c r="E16" s="53">
        <f>E7</f>
        <v>1440378</v>
      </c>
      <c r="F16" s="53">
        <f>F7</f>
        <v>-10728</v>
      </c>
      <c r="G16" s="53">
        <f>G7</f>
        <v>201</v>
      </c>
      <c r="H16" s="62">
        <f t="shared" ref="H16:H23" si="2">SUM(C16:G16)</f>
        <v>2080877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2:19" ht="16.5" thickTop="1" thickBot="1" x14ac:dyDescent="0.25">
      <c r="B17" s="119" t="s">
        <v>190</v>
      </c>
      <c r="C17" s="56">
        <v>0</v>
      </c>
      <c r="D17" s="56">
        <v>0</v>
      </c>
      <c r="E17" s="143">
        <v>-1163</v>
      </c>
      <c r="F17" s="56">
        <v>0</v>
      </c>
      <c r="G17" s="56">
        <v>0</v>
      </c>
      <c r="H17" s="64">
        <f t="shared" ref="H17" si="3">SUM(C17:G17)</f>
        <v>-1163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2:19" ht="16.5" thickTop="1" thickBot="1" x14ac:dyDescent="0.25">
      <c r="B18" s="34" t="s">
        <v>189</v>
      </c>
      <c r="C18" s="53">
        <f>SUM(C16:C17)</f>
        <v>517754</v>
      </c>
      <c r="D18" s="53">
        <f>SUM(D16:D17)</f>
        <v>133272</v>
      </c>
      <c r="E18" s="53">
        <f>SUM(E16:E17)</f>
        <v>1439215</v>
      </c>
      <c r="F18" s="53">
        <f>SUM(F16:F17)</f>
        <v>-10728</v>
      </c>
      <c r="G18" s="53">
        <f>SUM(G16:G17)</f>
        <v>201</v>
      </c>
      <c r="H18" s="62">
        <f t="shared" si="2"/>
        <v>2079714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2:19" ht="16.5" thickTop="1" thickBot="1" x14ac:dyDescent="0.25">
      <c r="B19" s="119" t="s">
        <v>202</v>
      </c>
      <c r="C19" s="56">
        <v>0</v>
      </c>
      <c r="D19" s="56">
        <v>0</v>
      </c>
      <c r="E19" s="56">
        <v>298534</v>
      </c>
      <c r="F19" s="56">
        <v>0</v>
      </c>
      <c r="G19" s="56">
        <v>148</v>
      </c>
      <c r="H19" s="64">
        <f t="shared" si="2"/>
        <v>298682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2:19" ht="16.5" thickTop="1" thickBot="1" x14ac:dyDescent="0.25">
      <c r="B20" s="12" t="s">
        <v>85</v>
      </c>
      <c r="C20" s="56">
        <v>0</v>
      </c>
      <c r="D20" s="56">
        <v>61</v>
      </c>
      <c r="E20" s="56">
        <v>-9</v>
      </c>
      <c r="F20" s="56">
        <v>10256</v>
      </c>
      <c r="G20" s="56">
        <v>-6</v>
      </c>
      <c r="H20" s="64">
        <f t="shared" si="2"/>
        <v>10302</v>
      </c>
    </row>
    <row r="21" spans="2:19" ht="16.5" thickTop="1" thickBot="1" x14ac:dyDescent="0.25">
      <c r="B21" s="34" t="s">
        <v>87</v>
      </c>
      <c r="C21" s="53">
        <f>SUM(C19:C20)</f>
        <v>0</v>
      </c>
      <c r="D21" s="53">
        <f>SUM(D19:D20)</f>
        <v>61</v>
      </c>
      <c r="E21" s="53">
        <f>SUM(E19:E20)</f>
        <v>298525</v>
      </c>
      <c r="F21" s="53">
        <f>SUM(F19:F20)</f>
        <v>10256</v>
      </c>
      <c r="G21" s="53">
        <f>SUM(G19:G20)</f>
        <v>142</v>
      </c>
      <c r="H21" s="62">
        <f t="shared" si="2"/>
        <v>308984</v>
      </c>
      <c r="I21" s="125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2:19" ht="16.5" thickTop="1" thickBot="1" x14ac:dyDescent="0.25">
      <c r="B22" s="65" t="s">
        <v>86</v>
      </c>
      <c r="C22" s="66">
        <v>0</v>
      </c>
      <c r="D22" s="66">
        <v>0</v>
      </c>
      <c r="E22" s="67">
        <v>-73723</v>
      </c>
      <c r="F22" s="67">
        <v>0</v>
      </c>
      <c r="G22" s="67">
        <v>0</v>
      </c>
      <c r="H22" s="64">
        <f t="shared" ref="H22" si="4">SUM(C22:G22)</f>
        <v>-73723</v>
      </c>
    </row>
    <row r="23" spans="2:19" ht="16.5" thickTop="1" thickBot="1" x14ac:dyDescent="0.25">
      <c r="B23" s="34" t="s">
        <v>262</v>
      </c>
      <c r="C23" s="53">
        <f>C18+SUM(C21:C21)+C22</f>
        <v>517754</v>
      </c>
      <c r="D23" s="53">
        <f>D18+SUM(D21:D21)+D22</f>
        <v>133333</v>
      </c>
      <c r="E23" s="53">
        <f>E18+SUM(E21:E21)+E22</f>
        <v>1664017</v>
      </c>
      <c r="F23" s="53">
        <f>F18+SUM(F21:F21)+F22</f>
        <v>-472</v>
      </c>
      <c r="G23" s="53">
        <f>G18+SUM(G21:G21)+G22</f>
        <v>343</v>
      </c>
      <c r="H23" s="62">
        <f t="shared" si="2"/>
        <v>2314975</v>
      </c>
      <c r="I23" s="125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2:19" ht="16.5" thickTop="1" thickBot="1" x14ac:dyDescent="0.25">
      <c r="B24" s="210" t="s">
        <v>259</v>
      </c>
      <c r="C24" s="211"/>
      <c r="D24" s="211"/>
      <c r="E24" s="211"/>
      <c r="F24" s="212"/>
      <c r="G24" s="68"/>
      <c r="H24" s="68"/>
    </row>
    <row r="25" spans="2:19" ht="16.5" thickTop="1" thickBot="1" x14ac:dyDescent="0.25">
      <c r="B25" s="34" t="s">
        <v>227</v>
      </c>
      <c r="C25" s="53">
        <f>C14</f>
        <v>517754</v>
      </c>
      <c r="D25" s="53">
        <f>D14</f>
        <v>133333</v>
      </c>
      <c r="E25" s="53">
        <f>E14</f>
        <v>1727659</v>
      </c>
      <c r="F25" s="53">
        <f>F14</f>
        <v>7679</v>
      </c>
      <c r="G25" s="53">
        <f>G14</f>
        <v>361</v>
      </c>
      <c r="H25" s="62">
        <f t="shared" ref="H25" si="5">SUM(C25:G25)</f>
        <v>2386786</v>
      </c>
    </row>
    <row r="26" spans="2:19" ht="16.5" thickTop="1" thickBot="1" x14ac:dyDescent="0.25">
      <c r="B26" s="119" t="s">
        <v>229</v>
      </c>
      <c r="C26" s="56">
        <v>0</v>
      </c>
      <c r="D26" s="56">
        <v>0</v>
      </c>
      <c r="E26" s="143">
        <v>-199514</v>
      </c>
      <c r="F26" s="56">
        <v>0</v>
      </c>
      <c r="G26" s="56">
        <v>0</v>
      </c>
      <c r="H26" s="64">
        <f t="shared" ref="H26" si="6">SUM(C26:G26)</f>
        <v>-199514</v>
      </c>
    </row>
    <row r="27" spans="2:19" ht="16.5" thickTop="1" thickBot="1" x14ac:dyDescent="0.25">
      <c r="B27" s="34" t="s">
        <v>228</v>
      </c>
      <c r="C27" s="53">
        <f>SUM(C25:C26)</f>
        <v>517754</v>
      </c>
      <c r="D27" s="53">
        <f>SUM(D25:D26)</f>
        <v>133333</v>
      </c>
      <c r="E27" s="53">
        <f>SUM(E25:E26)</f>
        <v>1528145</v>
      </c>
      <c r="F27" s="53">
        <f>SUM(F25:F26)</f>
        <v>7679</v>
      </c>
      <c r="G27" s="53">
        <f>SUM(G25:G26)</f>
        <v>361</v>
      </c>
      <c r="H27" s="62">
        <f t="shared" ref="H27:H30" si="7">SUM(C27:G27)</f>
        <v>2187272</v>
      </c>
    </row>
    <row r="28" spans="2:19" ht="16.5" thickTop="1" thickBot="1" x14ac:dyDescent="0.25">
      <c r="B28" s="119" t="s">
        <v>202</v>
      </c>
      <c r="C28" s="56">
        <v>0</v>
      </c>
      <c r="D28" s="143">
        <v>0</v>
      </c>
      <c r="E28" s="143">
        <v>208928</v>
      </c>
      <c r="F28" s="143">
        <v>0</v>
      </c>
      <c r="G28" s="143">
        <v>46</v>
      </c>
      <c r="H28" s="64">
        <f t="shared" si="7"/>
        <v>208974</v>
      </c>
    </row>
    <row r="29" spans="2:19" ht="16.5" thickTop="1" thickBot="1" x14ac:dyDescent="0.25">
      <c r="B29" s="12" t="s">
        <v>85</v>
      </c>
      <c r="C29" s="56">
        <v>0</v>
      </c>
      <c r="D29" s="143">
        <v>0</v>
      </c>
      <c r="E29" s="143">
        <v>0</v>
      </c>
      <c r="F29" s="143">
        <v>-8516</v>
      </c>
      <c r="G29" s="143">
        <v>-10</v>
      </c>
      <c r="H29" s="64">
        <f t="shared" si="7"/>
        <v>-8526</v>
      </c>
    </row>
    <row r="30" spans="2:19" ht="16.5" thickTop="1" thickBot="1" x14ac:dyDescent="0.25">
      <c r="B30" s="34" t="s">
        <v>87</v>
      </c>
      <c r="C30" s="53">
        <f>SUM(C28:C29)</f>
        <v>0</v>
      </c>
      <c r="D30" s="53">
        <f>SUM(D28:D29)</f>
        <v>0</v>
      </c>
      <c r="E30" s="53">
        <f>SUM(E28:E29)</f>
        <v>208928</v>
      </c>
      <c r="F30" s="53">
        <f>SUM(F28:F29)</f>
        <v>-8516</v>
      </c>
      <c r="G30" s="53">
        <f>SUM(G28:G29)</f>
        <v>36</v>
      </c>
      <c r="H30" s="62">
        <f t="shared" si="7"/>
        <v>200448</v>
      </c>
    </row>
    <row r="31" spans="2:19" ht="16.5" thickTop="1" thickBot="1" x14ac:dyDescent="0.25">
      <c r="B31" s="34" t="s">
        <v>260</v>
      </c>
      <c r="C31" s="53">
        <f>C27+SUM(C30:C30)</f>
        <v>517754</v>
      </c>
      <c r="D31" s="53">
        <f>D27+SUM(D30:D30)</f>
        <v>133333</v>
      </c>
      <c r="E31" s="53">
        <f>E27+SUM(E30:E30)</f>
        <v>1737073</v>
      </c>
      <c r="F31" s="53">
        <f>F27+SUM(F30:F30)</f>
        <v>-837</v>
      </c>
      <c r="G31" s="53">
        <f>G27+SUM(G30:G30)</f>
        <v>397</v>
      </c>
      <c r="H31" s="62">
        <f t="shared" ref="H31" si="8">SUM(C31:G31)</f>
        <v>2387720</v>
      </c>
    </row>
    <row r="32" spans="2:19" ht="16.5" thickTop="1" thickBot="1" x14ac:dyDescent="0.25">
      <c r="B32" s="210" t="s">
        <v>264</v>
      </c>
      <c r="C32" s="211"/>
      <c r="D32" s="211"/>
      <c r="E32" s="211"/>
      <c r="F32" s="212"/>
      <c r="G32" s="68"/>
      <c r="H32" s="68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2:8" ht="16.5" thickTop="1" thickBot="1" x14ac:dyDescent="0.25">
      <c r="B33" s="34" t="s">
        <v>263</v>
      </c>
      <c r="C33" s="53">
        <v>517754</v>
      </c>
      <c r="D33" s="53">
        <v>133333</v>
      </c>
      <c r="E33" s="53">
        <v>1657206</v>
      </c>
      <c r="F33" s="53">
        <v>-2855</v>
      </c>
      <c r="G33" s="53">
        <v>374</v>
      </c>
      <c r="H33" s="62">
        <f t="shared" ref="H33:H36" si="9">SUM(C33:G33)</f>
        <v>2305812</v>
      </c>
    </row>
    <row r="34" spans="2:8" ht="16.5" thickTop="1" thickBot="1" x14ac:dyDescent="0.25">
      <c r="B34" s="119" t="s">
        <v>202</v>
      </c>
      <c r="C34" s="56">
        <v>0</v>
      </c>
      <c r="D34" s="143">
        <v>0</v>
      </c>
      <c r="E34" s="143">
        <v>79867</v>
      </c>
      <c r="F34" s="143">
        <v>0</v>
      </c>
      <c r="G34" s="143">
        <v>26</v>
      </c>
      <c r="H34" s="64">
        <f t="shared" si="9"/>
        <v>79893</v>
      </c>
    </row>
    <row r="35" spans="2:8" ht="16.5" thickTop="1" thickBot="1" x14ac:dyDescent="0.25">
      <c r="B35" s="12" t="s">
        <v>85</v>
      </c>
      <c r="C35" s="56">
        <v>0</v>
      </c>
      <c r="D35" s="143">
        <v>0</v>
      </c>
      <c r="E35" s="143">
        <v>0</v>
      </c>
      <c r="F35" s="143">
        <v>2018</v>
      </c>
      <c r="G35" s="143">
        <v>-3</v>
      </c>
      <c r="H35" s="64">
        <f t="shared" si="9"/>
        <v>2015</v>
      </c>
    </row>
    <row r="36" spans="2:8" ht="16.5" thickTop="1" thickBot="1" x14ac:dyDescent="0.25">
      <c r="B36" s="34" t="s">
        <v>87</v>
      </c>
      <c r="C36" s="53">
        <f>SUM(C34:C35)</f>
        <v>0</v>
      </c>
      <c r="D36" s="53">
        <f>SUM(D34:D35)</f>
        <v>0</v>
      </c>
      <c r="E36" s="53">
        <f>SUM(E34:E35)</f>
        <v>79867</v>
      </c>
      <c r="F36" s="53">
        <f>SUM(F34:F35)</f>
        <v>2018</v>
      </c>
      <c r="G36" s="53">
        <f>SUM(G34:G35)</f>
        <v>23</v>
      </c>
      <c r="H36" s="62">
        <f t="shared" si="9"/>
        <v>81908</v>
      </c>
    </row>
    <row r="37" spans="2:8" ht="16.5" thickTop="1" thickBot="1" x14ac:dyDescent="0.25">
      <c r="B37" s="34" t="s">
        <v>260</v>
      </c>
      <c r="C37" s="53">
        <f>C33+SUM(C36:C36)</f>
        <v>517754</v>
      </c>
      <c r="D37" s="53">
        <f>D33+SUM(D36:D36)</f>
        <v>133333</v>
      </c>
      <c r="E37" s="53">
        <f>E33+SUM(E36:E36)</f>
        <v>1737073</v>
      </c>
      <c r="F37" s="53">
        <f>F33+SUM(F36:F36)</f>
        <v>-837</v>
      </c>
      <c r="G37" s="53">
        <f>G33+SUM(G36:G36)</f>
        <v>397</v>
      </c>
      <c r="H37" s="62">
        <f t="shared" ref="H37" si="10">SUM(C37:G37)</f>
        <v>2387720</v>
      </c>
    </row>
    <row r="38" spans="2:8" ht="15.75" thickTop="1" x14ac:dyDescent="0.2"/>
  </sheetData>
  <mergeCells count="8">
    <mergeCell ref="B32:F32"/>
    <mergeCell ref="B24:F24"/>
    <mergeCell ref="H4:H5"/>
    <mergeCell ref="B4:B5"/>
    <mergeCell ref="C4:F4"/>
    <mergeCell ref="B15:F15"/>
    <mergeCell ref="B6:F6"/>
    <mergeCell ref="G4:G5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0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54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ColWidth="10.875" defaultRowHeight="15" outlineLevelRow="1" outlineLevelCol="1" x14ac:dyDescent="0.2"/>
  <cols>
    <col min="1" max="1" width="5" style="2" customWidth="1"/>
    <col min="2" max="2" width="74.875" style="5" bestFit="1" customWidth="1"/>
    <col min="3" max="3" width="14.875" style="2" customWidth="1"/>
    <col min="4" max="6" width="14.875" style="2" hidden="1" customWidth="1" outlineLevel="1"/>
    <col min="7" max="7" width="14.875" style="2" customWidth="1" collapsed="1"/>
    <col min="8" max="10" width="14.875" style="2" hidden="1" customWidth="1" outlineLevel="1"/>
    <col min="11" max="11" width="10.875" style="2" collapsed="1"/>
    <col min="12" max="12" width="10.875" style="2" customWidth="1"/>
    <col min="13" max="16384" width="10.875" style="2"/>
  </cols>
  <sheetData>
    <row r="1" spans="1:13" ht="15.75" x14ac:dyDescent="0.25">
      <c r="A1" s="9" t="s">
        <v>8</v>
      </c>
    </row>
    <row r="2" spans="1:13" ht="15.75" x14ac:dyDescent="0.25">
      <c r="A2" s="9"/>
    </row>
    <row r="3" spans="1:13" ht="18" x14ac:dyDescent="0.25">
      <c r="A3" s="9"/>
      <c r="B3" s="96" t="s">
        <v>82</v>
      </c>
    </row>
    <row r="4" spans="1:13" ht="45.75" customHeight="1" thickBot="1" x14ac:dyDescent="0.25">
      <c r="B4" s="95"/>
      <c r="C4" s="145" t="str">
        <f>'RZiS i spr. z całkowitych doch.'!C4</f>
        <v>9 miesięcy 2019</v>
      </c>
      <c r="D4" s="185" t="str">
        <f>'RZiS i spr. z całkowitych doch.'!D4</f>
        <v>III kwartał 2019</v>
      </c>
      <c r="E4" s="185" t="str">
        <f>'RZiS i spr. z całkowitych doch.'!E4</f>
        <v>II kwartał 2019</v>
      </c>
      <c r="F4" s="185" t="str">
        <f>'RZiS i spr. z całkowitych doch.'!F4</f>
        <v>I kwartał 2019</v>
      </c>
      <c r="G4" s="185" t="str">
        <f>'RZiS i spr. z całkowitych doch.'!G4</f>
        <v>9 miesięcy 2018</v>
      </c>
      <c r="H4" s="185" t="str">
        <f>'RZiS i spr. z całkowitych doch.'!H4</f>
        <v>III kwartał 2018</v>
      </c>
      <c r="I4" s="185" t="str">
        <f>'RZiS i spr. z całkowitych doch.'!I4</f>
        <v>II kwartał 2018</v>
      </c>
      <c r="J4" s="185" t="str">
        <f>'RZiS i spr. z całkowitych doch.'!J4</f>
        <v>I kwartał 2018</v>
      </c>
      <c r="K4" s="111"/>
    </row>
    <row r="5" spans="1:13" ht="16.5" thickTop="1" thickBot="1" x14ac:dyDescent="0.25">
      <c r="B5" s="51" t="s">
        <v>68</v>
      </c>
      <c r="C5" s="97"/>
      <c r="D5" s="97"/>
      <c r="E5" s="97"/>
      <c r="F5" s="97"/>
      <c r="G5" s="97"/>
      <c r="H5" s="97"/>
      <c r="I5" s="97"/>
      <c r="J5" s="97"/>
      <c r="K5" s="111"/>
    </row>
    <row r="6" spans="1:13" ht="16.5" thickTop="1" thickBot="1" x14ac:dyDescent="0.25">
      <c r="B6" s="52" t="s">
        <v>205</v>
      </c>
      <c r="C6" s="98">
        <v>258926</v>
      </c>
      <c r="D6" s="98">
        <v>97667</v>
      </c>
      <c r="E6" s="98">
        <v>118689</v>
      </c>
      <c r="F6" s="98">
        <v>42570</v>
      </c>
      <c r="G6" s="98">
        <v>348431</v>
      </c>
      <c r="H6" s="98">
        <v>103068</v>
      </c>
      <c r="I6" s="98">
        <v>250304</v>
      </c>
      <c r="J6" s="98">
        <v>-4941</v>
      </c>
      <c r="K6" s="118"/>
      <c r="L6" s="198"/>
      <c r="M6" s="198"/>
    </row>
    <row r="7" spans="1:13" ht="16.5" thickTop="1" thickBot="1" x14ac:dyDescent="0.25">
      <c r="B7" s="52" t="s">
        <v>277</v>
      </c>
      <c r="C7" s="98">
        <v>234975</v>
      </c>
      <c r="D7" s="98">
        <v>91222</v>
      </c>
      <c r="E7" s="98">
        <v>106652</v>
      </c>
      <c r="F7" s="98">
        <f>F6-F8</f>
        <v>37101</v>
      </c>
      <c r="G7" s="98">
        <v>331955</v>
      </c>
      <c r="H7" s="98">
        <v>98364</v>
      </c>
      <c r="I7" s="98">
        <v>243636</v>
      </c>
      <c r="J7" s="98">
        <v>-10045</v>
      </c>
      <c r="K7" s="118"/>
      <c r="L7" s="198"/>
      <c r="M7" s="198"/>
    </row>
    <row r="8" spans="1:13" ht="16.5" thickTop="1" thickBot="1" x14ac:dyDescent="0.25">
      <c r="B8" s="52" t="s">
        <v>247</v>
      </c>
      <c r="C8" s="98">
        <v>23951</v>
      </c>
      <c r="D8" s="98">
        <v>6445</v>
      </c>
      <c r="E8" s="98">
        <v>12037</v>
      </c>
      <c r="F8" s="98">
        <v>5469</v>
      </c>
      <c r="G8" s="98">
        <v>16476</v>
      </c>
      <c r="H8" s="98">
        <v>4704</v>
      </c>
      <c r="I8" s="98">
        <v>6668</v>
      </c>
      <c r="J8" s="98">
        <v>5104</v>
      </c>
      <c r="K8" s="118"/>
      <c r="L8" s="198"/>
      <c r="M8" s="198"/>
    </row>
    <row r="9" spans="1:13" ht="16.5" thickTop="1" thickBot="1" x14ac:dyDescent="0.25">
      <c r="B9" s="54" t="s">
        <v>69</v>
      </c>
      <c r="C9" s="99">
        <f t="shared" ref="C9:J9" si="0">SUM(C10:C21)</f>
        <v>158484</v>
      </c>
      <c r="D9" s="99">
        <f t="shared" si="0"/>
        <v>73828</v>
      </c>
      <c r="E9" s="99">
        <f t="shared" si="0"/>
        <v>42985</v>
      </c>
      <c r="F9" s="99">
        <f t="shared" ref="F9" si="1">SUM(F10:F21)</f>
        <v>41671</v>
      </c>
      <c r="G9" s="99">
        <f t="shared" si="0"/>
        <v>-36266</v>
      </c>
      <c r="H9" s="99">
        <f t="shared" ref="H9" si="2">SUM(H10:H21)</f>
        <v>18094</v>
      </c>
      <c r="I9" s="99">
        <f t="shared" si="0"/>
        <v>-78950</v>
      </c>
      <c r="J9" s="99">
        <f t="shared" si="0"/>
        <v>24590</v>
      </c>
      <c r="K9" s="118"/>
      <c r="L9" s="198"/>
      <c r="M9" s="198"/>
    </row>
    <row r="10" spans="1:13" ht="16.5" hidden="1" outlineLevel="1" thickTop="1" thickBot="1" x14ac:dyDescent="0.25">
      <c r="B10" s="55" t="s">
        <v>41</v>
      </c>
      <c r="C10" s="100">
        <v>0</v>
      </c>
      <c r="D10" s="100"/>
      <c r="E10" s="100">
        <v>0</v>
      </c>
      <c r="F10" s="100">
        <v>0</v>
      </c>
      <c r="G10" s="100">
        <v>0</v>
      </c>
      <c r="H10" s="100"/>
      <c r="I10" s="100">
        <v>0</v>
      </c>
      <c r="J10" s="100">
        <v>0</v>
      </c>
      <c r="K10" s="118"/>
      <c r="L10" s="198"/>
      <c r="M10" s="198"/>
    </row>
    <row r="11" spans="1:13" ht="16.5" collapsed="1" thickTop="1" thickBot="1" x14ac:dyDescent="0.25">
      <c r="B11" s="55" t="s">
        <v>13</v>
      </c>
      <c r="C11" s="100">
        <v>164077</v>
      </c>
      <c r="D11" s="100">
        <v>55539</v>
      </c>
      <c r="E11" s="100">
        <v>55123</v>
      </c>
      <c r="F11" s="100">
        <v>53415</v>
      </c>
      <c r="G11" s="100">
        <v>124927</v>
      </c>
      <c r="H11" s="100">
        <v>42605</v>
      </c>
      <c r="I11" s="100">
        <v>40406</v>
      </c>
      <c r="J11" s="100">
        <v>41916</v>
      </c>
      <c r="K11" s="118"/>
      <c r="L11" s="198"/>
      <c r="M11" s="198"/>
    </row>
    <row r="12" spans="1:13" ht="16.5" thickTop="1" thickBot="1" x14ac:dyDescent="0.25">
      <c r="B12" s="55" t="s">
        <v>213</v>
      </c>
      <c r="C12" s="100">
        <v>6358</v>
      </c>
      <c r="D12" s="100">
        <v>3592</v>
      </c>
      <c r="E12" s="100">
        <v>3118</v>
      </c>
      <c r="F12" s="100">
        <v>-352</v>
      </c>
      <c r="G12" s="100">
        <v>15114</v>
      </c>
      <c r="H12" s="100">
        <v>5229</v>
      </c>
      <c r="I12" s="100">
        <v>10361</v>
      </c>
      <c r="J12" s="100">
        <v>-476</v>
      </c>
      <c r="K12" s="118"/>
      <c r="L12" s="198"/>
      <c r="M12" s="198"/>
    </row>
    <row r="13" spans="1:13" ht="16.5" thickTop="1" thickBot="1" x14ac:dyDescent="0.25">
      <c r="B13" s="55" t="s">
        <v>158</v>
      </c>
      <c r="C13" s="100">
        <v>26635</v>
      </c>
      <c r="D13" s="100">
        <v>11584</v>
      </c>
      <c r="E13" s="100">
        <v>7333</v>
      </c>
      <c r="F13" s="100">
        <v>7718</v>
      </c>
      <c r="G13" s="100">
        <v>9965</v>
      </c>
      <c r="H13" s="100">
        <v>2914</v>
      </c>
      <c r="I13" s="100">
        <v>3618</v>
      </c>
      <c r="J13" s="100">
        <v>3433</v>
      </c>
      <c r="K13" s="118"/>
      <c r="L13" s="198"/>
      <c r="M13" s="198"/>
    </row>
    <row r="14" spans="1:13" ht="16.5" thickTop="1" thickBot="1" x14ac:dyDescent="0.25">
      <c r="B14" s="55" t="s">
        <v>214</v>
      </c>
      <c r="C14" s="100">
        <v>-56560</v>
      </c>
      <c r="D14" s="100">
        <v>-344</v>
      </c>
      <c r="E14" s="100">
        <v>-8065</v>
      </c>
      <c r="F14" s="100">
        <v>-48151</v>
      </c>
      <c r="G14" s="100">
        <v>-144102</v>
      </c>
      <c r="H14" s="100">
        <v>-448</v>
      </c>
      <c r="I14" s="100">
        <v>-143738</v>
      </c>
      <c r="J14" s="100">
        <v>84</v>
      </c>
      <c r="K14" s="118"/>
      <c r="L14" s="198"/>
      <c r="M14" s="198"/>
    </row>
    <row r="15" spans="1:13" ht="16.5" thickTop="1" thickBot="1" x14ac:dyDescent="0.25">
      <c r="B15" s="55" t="s">
        <v>221</v>
      </c>
      <c r="C15" s="100">
        <v>-30471</v>
      </c>
      <c r="D15" s="100">
        <v>-12914</v>
      </c>
      <c r="E15" s="100">
        <v>-25752</v>
      </c>
      <c r="F15" s="100">
        <v>8195</v>
      </c>
      <c r="G15" s="179">
        <v>-33122</v>
      </c>
      <c r="H15" s="100">
        <v>-16251</v>
      </c>
      <c r="I15" s="100">
        <v>-7964</v>
      </c>
      <c r="J15" s="100">
        <v>-8907</v>
      </c>
      <c r="K15" s="118"/>
      <c r="L15" s="198"/>
      <c r="M15" s="198"/>
    </row>
    <row r="16" spans="1:13" ht="16.5" thickTop="1" thickBot="1" x14ac:dyDescent="0.25">
      <c r="B16" s="57" t="s">
        <v>220</v>
      </c>
      <c r="C16" s="100">
        <v>18896</v>
      </c>
      <c r="D16" s="100">
        <v>-8931</v>
      </c>
      <c r="E16" s="100">
        <v>-6006</v>
      </c>
      <c r="F16" s="100">
        <v>33833</v>
      </c>
      <c r="G16" s="179">
        <v>19677</v>
      </c>
      <c r="H16" s="179">
        <v>-1459</v>
      </c>
      <c r="I16" s="100">
        <v>-4496</v>
      </c>
      <c r="J16" s="100">
        <v>25632</v>
      </c>
      <c r="K16" s="118"/>
      <c r="L16" s="198"/>
      <c r="M16" s="198"/>
    </row>
    <row r="17" spans="2:13" ht="16.5" customHeight="1" thickTop="1" thickBot="1" x14ac:dyDescent="0.25">
      <c r="B17" s="57" t="s">
        <v>222</v>
      </c>
      <c r="C17" s="100">
        <v>25922</v>
      </c>
      <c r="D17" s="100">
        <v>24916</v>
      </c>
      <c r="E17" s="100">
        <v>14525</v>
      </c>
      <c r="F17" s="100">
        <v>-13519</v>
      </c>
      <c r="G17" s="179">
        <v>-24509</v>
      </c>
      <c r="H17" s="179">
        <v>-11855</v>
      </c>
      <c r="I17" s="100">
        <v>24533</v>
      </c>
      <c r="J17" s="100">
        <v>-37187</v>
      </c>
      <c r="K17" s="111"/>
      <c r="L17" s="198"/>
      <c r="M17" s="198"/>
    </row>
    <row r="18" spans="2:13" ht="16.5" thickTop="1" thickBot="1" x14ac:dyDescent="0.25">
      <c r="B18" s="55" t="s">
        <v>70</v>
      </c>
      <c r="C18" s="100">
        <v>-84</v>
      </c>
      <c r="D18" s="100">
        <v>-20</v>
      </c>
      <c r="E18" s="100">
        <v>-25</v>
      </c>
      <c r="F18" s="100">
        <v>-39</v>
      </c>
      <c r="G18" s="179">
        <v>-1401</v>
      </c>
      <c r="H18" s="179">
        <v>-131</v>
      </c>
      <c r="I18" s="100">
        <v>-1081</v>
      </c>
      <c r="J18" s="100">
        <v>-189</v>
      </c>
      <c r="K18" s="118"/>
      <c r="L18" s="198"/>
      <c r="M18" s="198"/>
    </row>
    <row r="19" spans="2:13" ht="16.5" thickTop="1" thickBot="1" x14ac:dyDescent="0.25">
      <c r="B19" s="55" t="s">
        <v>18</v>
      </c>
      <c r="C19" s="100">
        <v>509</v>
      </c>
      <c r="D19" s="100">
        <v>409</v>
      </c>
      <c r="E19" s="100">
        <v>177</v>
      </c>
      <c r="F19" s="100">
        <v>-77</v>
      </c>
      <c r="G19" s="100">
        <v>-1931</v>
      </c>
      <c r="H19" s="100">
        <v>-1467</v>
      </c>
      <c r="I19" s="100">
        <v>-567</v>
      </c>
      <c r="J19" s="100">
        <v>103</v>
      </c>
      <c r="K19" s="118"/>
      <c r="L19" s="198"/>
      <c r="M19" s="198"/>
    </row>
    <row r="20" spans="2:13" ht="16.5" thickTop="1" thickBot="1" x14ac:dyDescent="0.25">
      <c r="B20" s="55" t="s">
        <v>19</v>
      </c>
      <c r="C20" s="100">
        <v>397</v>
      </c>
      <c r="D20" s="100">
        <v>-2</v>
      </c>
      <c r="E20" s="100">
        <v>-249</v>
      </c>
      <c r="F20" s="100">
        <v>648</v>
      </c>
      <c r="G20" s="100">
        <v>1442</v>
      </c>
      <c r="H20" s="100">
        <v>1283</v>
      </c>
      <c r="I20" s="100">
        <v>-22</v>
      </c>
      <c r="J20" s="100">
        <v>181</v>
      </c>
      <c r="K20" s="118"/>
      <c r="L20" s="198"/>
      <c r="M20" s="198"/>
    </row>
    <row r="21" spans="2:13" ht="16.5" thickTop="1" thickBot="1" x14ac:dyDescent="0.25">
      <c r="B21" s="55" t="s">
        <v>20</v>
      </c>
      <c r="C21" s="100">
        <v>2805</v>
      </c>
      <c r="D21" s="100">
        <v>-1</v>
      </c>
      <c r="E21" s="100">
        <v>2806</v>
      </c>
      <c r="F21" s="100">
        <v>0</v>
      </c>
      <c r="G21" s="100">
        <v>-2326</v>
      </c>
      <c r="H21" s="100">
        <v>-2326</v>
      </c>
      <c r="I21" s="100">
        <v>0</v>
      </c>
      <c r="J21" s="100">
        <v>0</v>
      </c>
      <c r="K21" s="118"/>
      <c r="L21" s="198"/>
      <c r="M21" s="198"/>
    </row>
    <row r="22" spans="2:13" ht="16.5" thickTop="1" thickBot="1" x14ac:dyDescent="0.25">
      <c r="B22" s="52" t="s">
        <v>71</v>
      </c>
      <c r="C22" s="98">
        <f t="shared" ref="C22:J22" si="3">+C6+C9</f>
        <v>417410</v>
      </c>
      <c r="D22" s="98">
        <f t="shared" si="3"/>
        <v>171495</v>
      </c>
      <c r="E22" s="98">
        <f t="shared" si="3"/>
        <v>161674</v>
      </c>
      <c r="F22" s="98">
        <f t="shared" si="3"/>
        <v>84241</v>
      </c>
      <c r="G22" s="98">
        <f t="shared" si="3"/>
        <v>312165</v>
      </c>
      <c r="H22" s="98">
        <f t="shared" ref="H22" si="4">+H6+H9</f>
        <v>121162</v>
      </c>
      <c r="I22" s="98">
        <f t="shared" si="3"/>
        <v>171354</v>
      </c>
      <c r="J22" s="98">
        <f t="shared" si="3"/>
        <v>19649</v>
      </c>
      <c r="K22" s="118"/>
      <c r="L22" s="198"/>
      <c r="M22" s="198"/>
    </row>
    <row r="23" spans="2:13" ht="16.5" thickTop="1" thickBot="1" x14ac:dyDescent="0.25">
      <c r="B23" s="55" t="s">
        <v>72</v>
      </c>
      <c r="C23" s="100">
        <v>-44638</v>
      </c>
      <c r="D23" s="100">
        <v>-12078</v>
      </c>
      <c r="E23" s="100">
        <v>-18169</v>
      </c>
      <c r="F23" s="100">
        <v>-14391</v>
      </c>
      <c r="G23" s="100">
        <v>-24993</v>
      </c>
      <c r="H23" s="100">
        <v>-9403</v>
      </c>
      <c r="I23" s="100">
        <v>-8172</v>
      </c>
      <c r="J23" s="100">
        <v>-7418</v>
      </c>
      <c r="K23" s="118"/>
      <c r="L23" s="198"/>
      <c r="M23" s="198"/>
    </row>
    <row r="24" spans="2:13" ht="16.5" thickTop="1" thickBot="1" x14ac:dyDescent="0.25">
      <c r="B24" s="52" t="s">
        <v>73</v>
      </c>
      <c r="C24" s="98">
        <f t="shared" ref="C24:D24" si="5">SUM(C22:C23)</f>
        <v>372772</v>
      </c>
      <c r="D24" s="98">
        <f t="shared" si="5"/>
        <v>159417</v>
      </c>
      <c r="E24" s="98">
        <f t="shared" ref="E24:J24" si="6">SUM(E22:E23)</f>
        <v>143505</v>
      </c>
      <c r="F24" s="98">
        <f t="shared" si="6"/>
        <v>69850</v>
      </c>
      <c r="G24" s="98">
        <f t="shared" si="6"/>
        <v>287172</v>
      </c>
      <c r="H24" s="98">
        <f t="shared" si="6"/>
        <v>111759</v>
      </c>
      <c r="I24" s="98">
        <f t="shared" si="6"/>
        <v>163182</v>
      </c>
      <c r="J24" s="98">
        <f t="shared" si="6"/>
        <v>12231</v>
      </c>
      <c r="K24" s="118"/>
      <c r="L24" s="198"/>
      <c r="M24" s="198"/>
    </row>
    <row r="25" spans="2:13" ht="16.5" thickTop="1" thickBot="1" x14ac:dyDescent="0.25">
      <c r="B25" s="52" t="s">
        <v>74</v>
      </c>
      <c r="C25" s="100"/>
      <c r="D25" s="100"/>
      <c r="E25" s="100"/>
      <c r="F25" s="100"/>
      <c r="G25" s="100"/>
      <c r="H25" s="100"/>
      <c r="I25" s="100"/>
      <c r="J25" s="100"/>
      <c r="K25" s="111"/>
      <c r="L25" s="198"/>
      <c r="M25" s="198"/>
    </row>
    <row r="26" spans="2:13" ht="16.5" thickTop="1" thickBot="1" x14ac:dyDescent="0.25">
      <c r="B26" s="57" t="s">
        <v>178</v>
      </c>
      <c r="C26" s="100">
        <v>56518</v>
      </c>
      <c r="D26" s="100">
        <v>463</v>
      </c>
      <c r="E26" s="100">
        <v>383</v>
      </c>
      <c r="F26" s="100">
        <v>55672</v>
      </c>
      <c r="G26" s="100">
        <v>353022</v>
      </c>
      <c r="H26" s="100">
        <v>20129</v>
      </c>
      <c r="I26" s="100">
        <v>331029</v>
      </c>
      <c r="J26" s="100">
        <v>1864</v>
      </c>
      <c r="K26" s="118"/>
      <c r="L26" s="198"/>
      <c r="M26" s="198"/>
    </row>
    <row r="27" spans="2:13" ht="16.5" thickTop="1" thickBot="1" x14ac:dyDescent="0.25">
      <c r="B27" s="55" t="s">
        <v>75</v>
      </c>
      <c r="C27" s="100">
        <v>3383</v>
      </c>
      <c r="D27" s="100">
        <v>1387</v>
      </c>
      <c r="E27" s="100">
        <v>1285</v>
      </c>
      <c r="F27" s="100">
        <v>711</v>
      </c>
      <c r="G27" s="100">
        <v>1074</v>
      </c>
      <c r="H27" s="100">
        <v>477</v>
      </c>
      <c r="I27" s="100">
        <v>284</v>
      </c>
      <c r="J27" s="100">
        <v>313</v>
      </c>
      <c r="K27" s="118"/>
      <c r="L27" s="198"/>
      <c r="M27" s="198"/>
    </row>
    <row r="28" spans="2:13" ht="16.5" thickTop="1" thickBot="1" x14ac:dyDescent="0.25">
      <c r="B28" s="55" t="s">
        <v>21</v>
      </c>
      <c r="C28" s="100">
        <v>1128</v>
      </c>
      <c r="D28" s="100">
        <v>965</v>
      </c>
      <c r="E28" s="100">
        <v>89</v>
      </c>
      <c r="F28" s="100">
        <v>74</v>
      </c>
      <c r="G28" s="100">
        <v>4635</v>
      </c>
      <c r="H28" s="100">
        <v>-810</v>
      </c>
      <c r="I28" s="100">
        <v>0</v>
      </c>
      <c r="J28" s="100">
        <v>5445</v>
      </c>
      <c r="K28" s="118"/>
      <c r="L28" s="198"/>
      <c r="M28" s="198"/>
    </row>
    <row r="29" spans="2:13" ht="16.5" hidden="1" thickTop="1" thickBot="1" x14ac:dyDescent="0.25">
      <c r="B29" s="55" t="s">
        <v>181</v>
      </c>
      <c r="C29" s="100"/>
      <c r="D29" s="100">
        <v>0</v>
      </c>
      <c r="E29" s="100">
        <v>0</v>
      </c>
      <c r="F29" s="100">
        <v>0</v>
      </c>
      <c r="G29" s="100"/>
      <c r="H29" s="100">
        <v>0</v>
      </c>
      <c r="I29" s="100">
        <v>0</v>
      </c>
      <c r="J29" s="100">
        <v>0</v>
      </c>
      <c r="K29" s="118"/>
      <c r="L29" s="198"/>
      <c r="M29" s="198"/>
    </row>
    <row r="30" spans="2:13" ht="16.5" thickTop="1" thickBot="1" x14ac:dyDescent="0.25">
      <c r="B30" s="55" t="s">
        <v>212</v>
      </c>
      <c r="C30" s="179">
        <v>0</v>
      </c>
      <c r="D30" s="179">
        <v>0</v>
      </c>
      <c r="E30" s="179">
        <v>0</v>
      </c>
      <c r="F30" s="179">
        <v>0</v>
      </c>
      <c r="G30" s="179">
        <v>-46689</v>
      </c>
      <c r="H30" s="179">
        <v>-46689</v>
      </c>
      <c r="I30" s="179">
        <v>0</v>
      </c>
      <c r="J30" s="179">
        <v>0</v>
      </c>
      <c r="K30" s="118"/>
      <c r="L30" s="198"/>
      <c r="M30" s="198"/>
    </row>
    <row r="31" spans="2:13" ht="16.5" thickTop="1" thickBot="1" x14ac:dyDescent="0.25">
      <c r="B31" s="55" t="s">
        <v>182</v>
      </c>
      <c r="C31" s="100">
        <v>-164517</v>
      </c>
      <c r="D31" s="179">
        <v>-36335</v>
      </c>
      <c r="E31" s="179">
        <v>-45599</v>
      </c>
      <c r="F31" s="179">
        <v>-82583</v>
      </c>
      <c r="G31" s="100">
        <v>-194003</v>
      </c>
      <c r="H31" s="100">
        <v>-87822</v>
      </c>
      <c r="I31" s="179">
        <v>-50142</v>
      </c>
      <c r="J31" s="179">
        <v>-56039</v>
      </c>
      <c r="K31" s="118"/>
      <c r="L31" s="198"/>
      <c r="M31" s="198"/>
    </row>
    <row r="32" spans="2:13" ht="16.5" thickTop="1" thickBot="1" x14ac:dyDescent="0.25">
      <c r="B32" s="55" t="s">
        <v>223</v>
      </c>
      <c r="C32" s="100">
        <v>0</v>
      </c>
      <c r="D32" s="100">
        <v>0</v>
      </c>
      <c r="E32" s="100">
        <v>0</v>
      </c>
      <c r="F32" s="100">
        <v>0</v>
      </c>
      <c r="G32" s="100">
        <v>-605</v>
      </c>
      <c r="H32" s="100">
        <v>-8</v>
      </c>
      <c r="I32" s="100">
        <v>-597</v>
      </c>
      <c r="J32" s="100">
        <v>0</v>
      </c>
      <c r="K32" s="118"/>
      <c r="L32" s="198"/>
      <c r="M32" s="198"/>
    </row>
    <row r="33" spans="1:13" ht="16.5" thickTop="1" thickBot="1" x14ac:dyDescent="0.25">
      <c r="B33" s="55" t="s">
        <v>210</v>
      </c>
      <c r="C33" s="100">
        <v>0</v>
      </c>
      <c r="D33" s="100">
        <v>0</v>
      </c>
      <c r="E33" s="100">
        <v>0</v>
      </c>
      <c r="F33" s="100">
        <v>0</v>
      </c>
      <c r="G33" s="100">
        <v>-10</v>
      </c>
      <c r="H33" s="100">
        <v>-10</v>
      </c>
      <c r="I33" s="100">
        <v>0</v>
      </c>
      <c r="J33" s="100">
        <v>0</v>
      </c>
      <c r="K33" s="118"/>
      <c r="L33" s="198"/>
      <c r="M33" s="198"/>
    </row>
    <row r="34" spans="1:13" ht="16.5" hidden="1" thickTop="1" thickBot="1" x14ac:dyDescent="0.25">
      <c r="B34" s="55" t="s">
        <v>172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18"/>
      <c r="L34" s="198"/>
      <c r="M34" s="198"/>
    </row>
    <row r="35" spans="1:13" ht="16.5" thickTop="1" thickBot="1" x14ac:dyDescent="0.25">
      <c r="B35" s="52" t="s">
        <v>76</v>
      </c>
      <c r="C35" s="98">
        <f t="shared" ref="C35:J35" si="7">SUM(C26:C34)</f>
        <v>-103488</v>
      </c>
      <c r="D35" s="98">
        <f t="shared" si="7"/>
        <v>-33520</v>
      </c>
      <c r="E35" s="98">
        <f t="shared" si="7"/>
        <v>-43842</v>
      </c>
      <c r="F35" s="98">
        <f t="shared" si="7"/>
        <v>-26126</v>
      </c>
      <c r="G35" s="98">
        <f>SUM(G26:G34)</f>
        <v>117424</v>
      </c>
      <c r="H35" s="98">
        <f t="shared" ref="H35" si="8">SUM(H26:H34)</f>
        <v>-114733</v>
      </c>
      <c r="I35" s="98">
        <f t="shared" si="7"/>
        <v>280574</v>
      </c>
      <c r="J35" s="98">
        <f t="shared" si="7"/>
        <v>-48417</v>
      </c>
      <c r="K35" s="118"/>
      <c r="L35" s="198"/>
      <c r="M35" s="198"/>
    </row>
    <row r="36" spans="1:13" ht="16.5" thickTop="1" thickBot="1" x14ac:dyDescent="0.25">
      <c r="B36" s="52" t="s">
        <v>77</v>
      </c>
      <c r="C36" s="101"/>
      <c r="D36" s="101"/>
      <c r="E36" s="101"/>
      <c r="F36" s="101"/>
      <c r="G36" s="101"/>
      <c r="H36" s="101"/>
      <c r="I36" s="101"/>
      <c r="J36" s="101"/>
      <c r="K36" s="118"/>
      <c r="L36" s="198"/>
      <c r="M36" s="198"/>
    </row>
    <row r="37" spans="1:13" ht="16.5" hidden="1" thickTop="1" thickBot="1" x14ac:dyDescent="0.25">
      <c r="B37" s="55" t="s">
        <v>78</v>
      </c>
      <c r="C37" s="100">
        <v>0</v>
      </c>
      <c r="D37" s="100">
        <v>0</v>
      </c>
      <c r="E37" s="100">
        <f t="shared" ref="E37:E41" si="9">C37-F37</f>
        <v>0</v>
      </c>
      <c r="F37" s="100">
        <v>0</v>
      </c>
      <c r="G37" s="100">
        <v>0</v>
      </c>
      <c r="H37" s="100">
        <v>0</v>
      </c>
      <c r="I37" s="100">
        <v>-15642</v>
      </c>
      <c r="J37" s="100">
        <v>15642</v>
      </c>
      <c r="K37" s="118"/>
      <c r="L37" s="198"/>
      <c r="M37" s="198"/>
    </row>
    <row r="38" spans="1:13" ht="16.5" hidden="1" thickTop="1" thickBot="1" x14ac:dyDescent="0.25">
      <c r="B38" s="120" t="s">
        <v>179</v>
      </c>
      <c r="C38" s="100"/>
      <c r="D38" s="100">
        <v>0</v>
      </c>
      <c r="E38" s="100">
        <f t="shared" si="9"/>
        <v>0</v>
      </c>
      <c r="F38" s="100">
        <v>0</v>
      </c>
      <c r="G38" s="100"/>
      <c r="H38" s="100">
        <v>0</v>
      </c>
      <c r="I38" s="100">
        <v>0</v>
      </c>
      <c r="J38" s="100">
        <v>0</v>
      </c>
      <c r="K38" s="118"/>
      <c r="L38" s="198"/>
      <c r="M38" s="198"/>
    </row>
    <row r="39" spans="1:13" ht="16.5" hidden="1" thickTop="1" thickBot="1" x14ac:dyDescent="0.25">
      <c r="A39" s="149"/>
      <c r="B39" s="120" t="s">
        <v>209</v>
      </c>
      <c r="C39" s="100"/>
      <c r="D39" s="100">
        <v>0</v>
      </c>
      <c r="E39" s="100">
        <f t="shared" si="9"/>
        <v>0</v>
      </c>
      <c r="F39" s="100">
        <v>0</v>
      </c>
      <c r="G39" s="100"/>
      <c r="H39" s="100">
        <v>0</v>
      </c>
      <c r="I39" s="100">
        <v>0</v>
      </c>
      <c r="J39" s="100">
        <v>0</v>
      </c>
      <c r="K39" s="118"/>
      <c r="L39" s="198"/>
      <c r="M39" s="198"/>
    </row>
    <row r="40" spans="1:13" ht="16.5" thickTop="1" thickBot="1" x14ac:dyDescent="0.25">
      <c r="B40" s="57" t="s">
        <v>143</v>
      </c>
      <c r="C40" s="100">
        <v>0</v>
      </c>
      <c r="D40" s="100">
        <v>0</v>
      </c>
      <c r="E40" s="100">
        <f t="shared" si="9"/>
        <v>0</v>
      </c>
      <c r="F40" s="100">
        <v>0</v>
      </c>
      <c r="G40" s="100">
        <v>-40545</v>
      </c>
      <c r="H40" s="100">
        <v>182</v>
      </c>
      <c r="I40" s="100">
        <v>-40727</v>
      </c>
      <c r="J40" s="100">
        <v>0</v>
      </c>
      <c r="K40" s="118"/>
      <c r="L40" s="198"/>
      <c r="M40" s="198"/>
    </row>
    <row r="41" spans="1:13" ht="16.5" thickTop="1" thickBot="1" x14ac:dyDescent="0.25">
      <c r="B41" s="57" t="s">
        <v>162</v>
      </c>
      <c r="C41" s="100">
        <v>0</v>
      </c>
      <c r="D41" s="100">
        <v>0</v>
      </c>
      <c r="E41" s="100">
        <f t="shared" si="9"/>
        <v>0</v>
      </c>
      <c r="F41" s="100">
        <v>0</v>
      </c>
      <c r="G41" s="100">
        <v>-390</v>
      </c>
      <c r="H41" s="100">
        <v>-14</v>
      </c>
      <c r="I41" s="100">
        <v>-217</v>
      </c>
      <c r="J41" s="100">
        <v>-159</v>
      </c>
      <c r="K41" s="118"/>
      <c r="L41" s="198"/>
      <c r="M41" s="198"/>
    </row>
    <row r="42" spans="1:13" ht="16.5" thickTop="1" thickBot="1" x14ac:dyDescent="0.25">
      <c r="B42" s="57" t="s">
        <v>173</v>
      </c>
      <c r="C42" s="100">
        <v>-9798</v>
      </c>
      <c r="D42" s="100">
        <v>-2816</v>
      </c>
      <c r="E42" s="100">
        <v>-4128</v>
      </c>
      <c r="F42" s="100">
        <v>-2854</v>
      </c>
      <c r="G42" s="100">
        <v>-9953</v>
      </c>
      <c r="H42" s="100">
        <v>-2836</v>
      </c>
      <c r="I42" s="100">
        <v>-4233</v>
      </c>
      <c r="J42" s="100">
        <v>-2884</v>
      </c>
      <c r="K42" s="118"/>
      <c r="L42" s="198"/>
      <c r="M42" s="198"/>
    </row>
    <row r="43" spans="1:13" ht="16.5" thickTop="1" thickBot="1" x14ac:dyDescent="0.25">
      <c r="B43" s="57" t="s">
        <v>209</v>
      </c>
      <c r="C43" s="100">
        <v>0</v>
      </c>
      <c r="D43" s="100">
        <v>0</v>
      </c>
      <c r="E43" s="100">
        <v>0</v>
      </c>
      <c r="F43" s="100">
        <v>0</v>
      </c>
      <c r="G43" s="100">
        <v>-73723</v>
      </c>
      <c r="H43" s="100">
        <v>-73723</v>
      </c>
      <c r="I43" s="100">
        <v>0</v>
      </c>
      <c r="J43" s="100">
        <v>0</v>
      </c>
      <c r="K43" s="118"/>
      <c r="L43" s="198"/>
      <c r="M43" s="198"/>
    </row>
    <row r="44" spans="1:13" ht="16.5" thickTop="1" thickBot="1" x14ac:dyDescent="0.25">
      <c r="B44" s="57" t="s">
        <v>230</v>
      </c>
      <c r="C44" s="100">
        <v>-40138</v>
      </c>
      <c r="D44" s="100">
        <v>-10528</v>
      </c>
      <c r="E44" s="100">
        <v>-22414</v>
      </c>
      <c r="F44" s="100">
        <v>-7196</v>
      </c>
      <c r="G44" s="100">
        <v>0</v>
      </c>
      <c r="H44" s="100">
        <v>0</v>
      </c>
      <c r="I44" s="100">
        <v>0</v>
      </c>
      <c r="J44" s="100">
        <v>0</v>
      </c>
      <c r="K44" s="118"/>
      <c r="L44" s="198"/>
      <c r="M44" s="198"/>
    </row>
    <row r="45" spans="1:13" ht="16.5" thickTop="1" thickBot="1" x14ac:dyDescent="0.25">
      <c r="B45" s="57" t="s">
        <v>231</v>
      </c>
      <c r="C45" s="100">
        <v>-9599</v>
      </c>
      <c r="D45" s="100">
        <v>-2143</v>
      </c>
      <c r="E45" s="100">
        <v>6525</v>
      </c>
      <c r="F45" s="100">
        <v>-13981</v>
      </c>
      <c r="G45" s="100">
        <v>0</v>
      </c>
      <c r="H45" s="100">
        <v>0</v>
      </c>
      <c r="I45" s="100">
        <v>0</v>
      </c>
      <c r="J45" s="100">
        <v>0</v>
      </c>
      <c r="K45" s="118"/>
      <c r="L45" s="198"/>
      <c r="M45" s="198"/>
    </row>
    <row r="46" spans="1:13" ht="16.5" thickTop="1" thickBot="1" x14ac:dyDescent="0.25">
      <c r="B46" s="52" t="s">
        <v>79</v>
      </c>
      <c r="C46" s="98">
        <f t="shared" ref="C46:J46" si="10">SUM(C36:C45)</f>
        <v>-59535</v>
      </c>
      <c r="D46" s="98">
        <f t="shared" ref="D46" si="11">SUM(D36:D45)</f>
        <v>-15487</v>
      </c>
      <c r="E46" s="98">
        <f t="shared" si="10"/>
        <v>-20017</v>
      </c>
      <c r="F46" s="98">
        <f t="shared" si="10"/>
        <v>-24031</v>
      </c>
      <c r="G46" s="98">
        <f t="shared" si="10"/>
        <v>-124611</v>
      </c>
      <c r="H46" s="98">
        <f t="shared" si="10"/>
        <v>-76391</v>
      </c>
      <c r="I46" s="98">
        <f t="shared" si="10"/>
        <v>-60819</v>
      </c>
      <c r="J46" s="98">
        <f t="shared" si="10"/>
        <v>12599</v>
      </c>
      <c r="K46" s="118"/>
      <c r="L46" s="198"/>
      <c r="M46" s="198"/>
    </row>
    <row r="47" spans="1:13" ht="16.5" thickTop="1" thickBot="1" x14ac:dyDescent="0.25">
      <c r="B47" s="52" t="s">
        <v>80</v>
      </c>
      <c r="C47" s="98">
        <f t="shared" ref="C47:J47" si="12">C24+C35+C46</f>
        <v>209749</v>
      </c>
      <c r="D47" s="98">
        <f t="shared" ref="D47" si="13">D24+D35+D46</f>
        <v>110410</v>
      </c>
      <c r="E47" s="98">
        <f t="shared" si="12"/>
        <v>79646</v>
      </c>
      <c r="F47" s="98">
        <f t="shared" si="12"/>
        <v>19693</v>
      </c>
      <c r="G47" s="98">
        <f t="shared" si="12"/>
        <v>279985</v>
      </c>
      <c r="H47" s="98">
        <v>-79365</v>
      </c>
      <c r="I47" s="98">
        <f t="shared" si="12"/>
        <v>382937</v>
      </c>
      <c r="J47" s="98">
        <f t="shared" si="12"/>
        <v>-23587</v>
      </c>
      <c r="K47" s="118"/>
      <c r="L47" s="198"/>
      <c r="M47" s="198"/>
    </row>
    <row r="48" spans="1:13" ht="16.5" thickTop="1" thickBot="1" x14ac:dyDescent="0.25">
      <c r="B48" s="55" t="s">
        <v>135</v>
      </c>
      <c r="C48" s="100">
        <v>-412</v>
      </c>
      <c r="D48" s="100">
        <v>1303</v>
      </c>
      <c r="E48" s="100">
        <v>-1721</v>
      </c>
      <c r="F48" s="100">
        <v>6</v>
      </c>
      <c r="G48" s="100">
        <v>2333</v>
      </c>
      <c r="H48" s="100">
        <v>-5493</v>
      </c>
      <c r="I48" s="100">
        <v>6376</v>
      </c>
      <c r="J48" s="100">
        <v>1450</v>
      </c>
      <c r="K48" s="118"/>
      <c r="L48" s="198"/>
      <c r="M48" s="198"/>
    </row>
    <row r="49" spans="2:13" ht="16.5" thickTop="1" thickBot="1" x14ac:dyDescent="0.25">
      <c r="B49" s="52" t="s">
        <v>23</v>
      </c>
      <c r="C49" s="98">
        <v>537834</v>
      </c>
      <c r="D49" s="98">
        <f>E50</f>
        <v>635458</v>
      </c>
      <c r="E49" s="98">
        <f>F50</f>
        <v>557533</v>
      </c>
      <c r="F49" s="98">
        <v>537834</v>
      </c>
      <c r="G49" s="98">
        <v>214844</v>
      </c>
      <c r="H49" s="98">
        <v>582020</v>
      </c>
      <c r="I49" s="98">
        <f>J50</f>
        <v>192707</v>
      </c>
      <c r="J49" s="98">
        <v>214844</v>
      </c>
      <c r="K49" s="118"/>
      <c r="L49" s="198"/>
      <c r="M49" s="198"/>
    </row>
    <row r="50" spans="2:13" ht="16.5" thickTop="1" thickBot="1" x14ac:dyDescent="0.25">
      <c r="B50" s="52" t="s">
        <v>81</v>
      </c>
      <c r="C50" s="98">
        <f t="shared" ref="C50:J50" si="14">SUM(C47:C49)</f>
        <v>747171</v>
      </c>
      <c r="D50" s="98">
        <f t="shared" si="14"/>
        <v>747171</v>
      </c>
      <c r="E50" s="98">
        <f t="shared" si="14"/>
        <v>635458</v>
      </c>
      <c r="F50" s="98">
        <f t="shared" si="14"/>
        <v>557533</v>
      </c>
      <c r="G50" s="98">
        <f t="shared" si="14"/>
        <v>497162</v>
      </c>
      <c r="H50" s="98">
        <f t="shared" ref="H50" si="15">SUM(H47:H49)</f>
        <v>497162</v>
      </c>
      <c r="I50" s="98">
        <f t="shared" si="14"/>
        <v>582020</v>
      </c>
      <c r="J50" s="98">
        <f t="shared" si="14"/>
        <v>192707</v>
      </c>
      <c r="K50" s="118"/>
      <c r="L50" s="198"/>
      <c r="M50" s="198"/>
    </row>
    <row r="51" spans="2:13" ht="16.5" thickTop="1" thickBot="1" x14ac:dyDescent="0.25">
      <c r="B51" s="57" t="s">
        <v>251</v>
      </c>
      <c r="C51" s="100">
        <v>6440</v>
      </c>
      <c r="D51" s="100">
        <v>6440</v>
      </c>
      <c r="E51" s="100"/>
      <c r="F51" s="100"/>
      <c r="G51" s="100"/>
      <c r="H51" s="100"/>
      <c r="I51" s="100"/>
      <c r="J51" s="100"/>
      <c r="K51" s="111"/>
    </row>
    <row r="52" spans="2:13" ht="15.75" thickTop="1" x14ac:dyDescent="0.2">
      <c r="C52" s="160"/>
      <c r="D52" s="160"/>
      <c r="E52" s="160"/>
      <c r="F52" s="160"/>
      <c r="G52" s="160"/>
      <c r="H52" s="160"/>
      <c r="I52" s="160"/>
      <c r="J52" s="160"/>
      <c r="K52" s="111"/>
    </row>
    <row r="53" spans="2:13" ht="15.75" thickBot="1" x14ac:dyDescent="0.25">
      <c r="B53" s="55"/>
      <c r="F53" s="88"/>
      <c r="K53" s="111"/>
    </row>
    <row r="54" spans="2:13" ht="15.75" thickTop="1" x14ac:dyDescent="0.2"/>
  </sheetData>
  <phoneticPr fontId="19" type="noConversion"/>
  <hyperlinks>
    <hyperlink ref="A1" location="'Spis treści'!A1" display="Spis treści"/>
  </hyperlinks>
  <pageMargins left="0.35433070866141736" right="0.35433070866141736" top="0.98425196850393704" bottom="0.98425196850393704" header="0.51181102362204722" footer="0.51181102362204722"/>
  <pageSetup paperSize="9" scale="80" orientation="portrait" horizontalDpi="4294967292" verticalDpi="4294967292" r:id="rId1"/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80"/>
  <sheetViews>
    <sheetView zoomScaleNormal="100" workbookViewId="0">
      <pane xSplit="2" topLeftCell="C1" activePane="topRight" state="frozen"/>
      <selection pane="topRight" activeCell="B3" sqref="B3"/>
    </sheetView>
  </sheetViews>
  <sheetFormatPr defaultColWidth="10.875" defaultRowHeight="12" outlineLevelCol="1" x14ac:dyDescent="0.2"/>
  <cols>
    <col min="1" max="1" width="5" style="28" customWidth="1"/>
    <col min="2" max="2" width="55.25" style="23" customWidth="1"/>
    <col min="3" max="5" width="15.125" style="28" customWidth="1"/>
    <col min="6" max="6" width="17.625" style="28" customWidth="1"/>
    <col min="7" max="7" width="10.875" style="28"/>
    <col min="8" max="10" width="15.125" style="28" hidden="1" customWidth="1" outlineLevel="1"/>
    <col min="11" max="11" width="17.625" style="28" hidden="1" customWidth="1" outlineLevel="1"/>
    <col min="12" max="12" width="10.875" style="28" hidden="1" customWidth="1" outlineLevel="1"/>
    <col min="13" max="15" width="15.125" style="28" hidden="1" customWidth="1" outlineLevel="1"/>
    <col min="16" max="16" width="17.625" style="28" hidden="1" customWidth="1" outlineLevel="1"/>
    <col min="17" max="17" width="10.875" style="28" hidden="1" customWidth="1" outlineLevel="1"/>
    <col min="18" max="20" width="15.125" style="28" hidden="1" customWidth="1" outlineLevel="1"/>
    <col min="21" max="21" width="17.625" style="28" hidden="1" customWidth="1" outlineLevel="1"/>
    <col min="22" max="22" width="10.875" style="28" collapsed="1"/>
    <col min="23" max="16384" width="10.875" style="28"/>
  </cols>
  <sheetData>
    <row r="1" spans="1:21" ht="15" x14ac:dyDescent="0.2">
      <c r="A1" s="102" t="s">
        <v>8</v>
      </c>
    </row>
    <row r="2" spans="1:21" x14ac:dyDescent="0.2">
      <c r="A2" s="103"/>
    </row>
    <row r="3" spans="1:21" ht="18.75" thickBot="1" x14ac:dyDescent="0.25">
      <c r="A3" s="103"/>
      <c r="B3" s="15" t="s">
        <v>89</v>
      </c>
    </row>
    <row r="4" spans="1:21" ht="16.5" customHeight="1" thickTop="1" thickBot="1" x14ac:dyDescent="0.25">
      <c r="B4" s="206"/>
      <c r="C4" s="209" t="s">
        <v>89</v>
      </c>
      <c r="D4" s="220"/>
      <c r="E4" s="221" t="s">
        <v>92</v>
      </c>
      <c r="F4" s="223" t="s">
        <v>267</v>
      </c>
      <c r="H4" s="209" t="s">
        <v>89</v>
      </c>
      <c r="I4" s="220"/>
      <c r="J4" s="221" t="s">
        <v>92</v>
      </c>
      <c r="K4" s="223" t="s">
        <v>265</v>
      </c>
      <c r="M4" s="209" t="s">
        <v>89</v>
      </c>
      <c r="N4" s="220"/>
      <c r="O4" s="221" t="s">
        <v>92</v>
      </c>
      <c r="P4" s="223" t="s">
        <v>240</v>
      </c>
      <c r="R4" s="209" t="s">
        <v>89</v>
      </c>
      <c r="S4" s="220"/>
      <c r="T4" s="221" t="s">
        <v>92</v>
      </c>
      <c r="U4" s="223" t="s">
        <v>232</v>
      </c>
    </row>
    <row r="5" spans="1:21" ht="36" customHeight="1" thickTop="1" thickBot="1" x14ac:dyDescent="0.25">
      <c r="B5" s="207"/>
      <c r="C5" s="141" t="s">
        <v>90</v>
      </c>
      <c r="D5" s="141" t="s">
        <v>91</v>
      </c>
      <c r="E5" s="222"/>
      <c r="F5" s="224"/>
      <c r="H5" s="185" t="s">
        <v>90</v>
      </c>
      <c r="I5" s="185" t="s">
        <v>91</v>
      </c>
      <c r="J5" s="222"/>
      <c r="K5" s="224"/>
      <c r="M5" s="167" t="s">
        <v>90</v>
      </c>
      <c r="N5" s="167" t="s">
        <v>91</v>
      </c>
      <c r="O5" s="222"/>
      <c r="P5" s="224"/>
      <c r="R5" s="167" t="s">
        <v>90</v>
      </c>
      <c r="S5" s="167" t="s">
        <v>91</v>
      </c>
      <c r="T5" s="222"/>
      <c r="U5" s="224"/>
    </row>
    <row r="6" spans="1:21" ht="16.5" customHeight="1" thickTop="1" thickBot="1" x14ac:dyDescent="0.25">
      <c r="B6" s="83" t="s">
        <v>139</v>
      </c>
      <c r="C6" s="84">
        <f>C7</f>
        <v>817035</v>
      </c>
      <c r="D6" s="84">
        <f>D7</f>
        <v>264860</v>
      </c>
      <c r="E6" s="84">
        <f>E7</f>
        <v>8442</v>
      </c>
      <c r="F6" s="84">
        <f>SUM(C6:E6)</f>
        <v>1090337</v>
      </c>
      <c r="H6" s="70">
        <f>H7</f>
        <v>302074</v>
      </c>
      <c r="I6" s="70">
        <f>I7</f>
        <v>101408</v>
      </c>
      <c r="J6" s="70">
        <f>J7</f>
        <v>2803</v>
      </c>
      <c r="K6" s="84">
        <f>SUM(H6:J6)</f>
        <v>406285</v>
      </c>
      <c r="M6" s="70">
        <v>310586</v>
      </c>
      <c r="N6" s="70">
        <v>101512</v>
      </c>
      <c r="O6" s="84">
        <v>2481</v>
      </c>
      <c r="P6" s="84">
        <f>SUM(M6:O6)</f>
        <v>414579</v>
      </c>
      <c r="R6" s="70">
        <v>204375</v>
      </c>
      <c r="S6" s="70">
        <v>61940</v>
      </c>
      <c r="T6" s="84">
        <v>3158</v>
      </c>
      <c r="U6" s="84">
        <f>SUM(R6:T6)</f>
        <v>269473</v>
      </c>
    </row>
    <row r="7" spans="1:21" ht="16.5" customHeight="1" thickTop="1" thickBot="1" x14ac:dyDescent="0.25">
      <c r="B7" s="78" t="s">
        <v>94</v>
      </c>
      <c r="C7" s="74">
        <v>817035</v>
      </c>
      <c r="D7" s="74">
        <v>264860</v>
      </c>
      <c r="E7" s="74">
        <v>8442</v>
      </c>
      <c r="F7" s="74">
        <f t="shared" ref="F7:F19" si="0">SUM(C7:E7)</f>
        <v>1090337</v>
      </c>
      <c r="H7" s="74">
        <v>302074</v>
      </c>
      <c r="I7" s="74">
        <v>101408</v>
      </c>
      <c r="J7" s="74">
        <v>2803</v>
      </c>
      <c r="K7" s="74">
        <f t="shared" ref="K7:K19" si="1">SUM(H7:J7)</f>
        <v>406285</v>
      </c>
      <c r="M7" s="74">
        <v>310586</v>
      </c>
      <c r="N7" s="74">
        <v>101512</v>
      </c>
      <c r="O7" s="74">
        <v>2481</v>
      </c>
      <c r="P7" s="74">
        <f t="shared" ref="P7:P16" si="2">SUM(M7:O7)</f>
        <v>414579</v>
      </c>
      <c r="R7" s="74">
        <v>204375</v>
      </c>
      <c r="S7" s="74">
        <v>61940</v>
      </c>
      <c r="T7" s="74">
        <v>3158</v>
      </c>
      <c r="U7" s="74">
        <f t="shared" ref="U7:U18" si="3">SUM(R7:T7)</f>
        <v>269473</v>
      </c>
    </row>
    <row r="8" spans="1:21" ht="16.5" customHeight="1" thickTop="1" thickBot="1" x14ac:dyDescent="0.25">
      <c r="B8" s="75" t="s">
        <v>95</v>
      </c>
      <c r="C8" s="70">
        <v>343016</v>
      </c>
      <c r="D8" s="70">
        <v>130742</v>
      </c>
      <c r="E8" s="70">
        <v>-69965</v>
      </c>
      <c r="F8" s="70">
        <f t="shared" si="0"/>
        <v>403793</v>
      </c>
      <c r="H8" s="70">
        <v>139767</v>
      </c>
      <c r="I8" s="70">
        <v>53740</v>
      </c>
      <c r="J8" s="70">
        <v>-18985</v>
      </c>
      <c r="K8" s="70">
        <f t="shared" si="1"/>
        <v>174522</v>
      </c>
      <c r="M8" s="70">
        <v>145545</v>
      </c>
      <c r="N8" s="70">
        <v>55495</v>
      </c>
      <c r="O8" s="70">
        <v>-25850</v>
      </c>
      <c r="P8" s="70">
        <f t="shared" si="2"/>
        <v>175190</v>
      </c>
      <c r="R8" s="70">
        <v>57704</v>
      </c>
      <c r="S8" s="70">
        <v>21507</v>
      </c>
      <c r="T8" s="70">
        <v>-25130</v>
      </c>
      <c r="U8" s="70">
        <f t="shared" si="3"/>
        <v>54081</v>
      </c>
    </row>
    <row r="9" spans="1:21" ht="16.5" customHeight="1" thickTop="1" thickBot="1" x14ac:dyDescent="0.25">
      <c r="B9" s="75" t="s">
        <v>37</v>
      </c>
      <c r="C9" s="70">
        <v>335347</v>
      </c>
      <c r="D9" s="70">
        <v>130378</v>
      </c>
      <c r="E9" s="70">
        <v>-70827</v>
      </c>
      <c r="F9" s="70">
        <f t="shared" si="0"/>
        <v>394898</v>
      </c>
      <c r="H9" s="70">
        <v>137423</v>
      </c>
      <c r="I9" s="70">
        <v>53428</v>
      </c>
      <c r="J9" s="70">
        <v>-19265</v>
      </c>
      <c r="K9" s="70">
        <f t="shared" si="1"/>
        <v>171586</v>
      </c>
      <c r="M9" s="70">
        <v>142128</v>
      </c>
      <c r="N9" s="70">
        <v>55524</v>
      </c>
      <c r="O9" s="70">
        <v>-25821</v>
      </c>
      <c r="P9" s="70">
        <f t="shared" si="2"/>
        <v>171831</v>
      </c>
      <c r="R9" s="70">
        <v>55796</v>
      </c>
      <c r="S9" s="70">
        <v>21426</v>
      </c>
      <c r="T9" s="70">
        <v>-25741</v>
      </c>
      <c r="U9" s="70">
        <f t="shared" si="3"/>
        <v>51481</v>
      </c>
    </row>
    <row r="10" spans="1:21" ht="16.5" customHeight="1" thickTop="1" thickBot="1" x14ac:dyDescent="0.25">
      <c r="B10" s="78" t="s">
        <v>13</v>
      </c>
      <c r="C10" s="74">
        <v>-117021</v>
      </c>
      <c r="D10" s="74">
        <v>-42171</v>
      </c>
      <c r="E10" s="74">
        <v>-4879</v>
      </c>
      <c r="F10" s="74">
        <f t="shared" si="0"/>
        <v>-164071</v>
      </c>
      <c r="H10" s="74">
        <v>-39461</v>
      </c>
      <c r="I10" s="74">
        <v>-13911</v>
      </c>
      <c r="J10" s="74">
        <v>-2165</v>
      </c>
      <c r="K10" s="74">
        <f t="shared" si="1"/>
        <v>-55537</v>
      </c>
      <c r="M10" s="74">
        <v>-39357</v>
      </c>
      <c r="N10" s="74">
        <v>-14353</v>
      </c>
      <c r="O10" s="74">
        <v>-1411</v>
      </c>
      <c r="P10" s="74">
        <f t="shared" si="2"/>
        <v>-55121</v>
      </c>
      <c r="R10" s="74">
        <v>-38203</v>
      </c>
      <c r="S10" s="74">
        <v>-13907</v>
      </c>
      <c r="T10" s="74">
        <v>-1303</v>
      </c>
      <c r="U10" s="74">
        <f t="shared" si="3"/>
        <v>-53413</v>
      </c>
    </row>
    <row r="11" spans="1:21" ht="16.5" customHeight="1" thickTop="1" thickBot="1" x14ac:dyDescent="0.25">
      <c r="B11" s="75" t="s">
        <v>96</v>
      </c>
      <c r="C11" s="70">
        <f>SUM(C9:C10)</f>
        <v>218326</v>
      </c>
      <c r="D11" s="70">
        <f>SUM(D9:D10)</f>
        <v>88207</v>
      </c>
      <c r="E11" s="70">
        <f>SUM(E9:E10)</f>
        <v>-75706</v>
      </c>
      <c r="F11" s="70">
        <f t="shared" si="0"/>
        <v>230827</v>
      </c>
      <c r="H11" s="70">
        <f>SUM(H9:H10)</f>
        <v>97962</v>
      </c>
      <c r="I11" s="70">
        <f>SUM(I9:I10)</f>
        <v>39517</v>
      </c>
      <c r="J11" s="70">
        <f>SUM(J9:J10)</f>
        <v>-21430</v>
      </c>
      <c r="K11" s="70">
        <f t="shared" si="1"/>
        <v>116049</v>
      </c>
      <c r="M11" s="70">
        <f>SUM(M9:M10)</f>
        <v>102771</v>
      </c>
      <c r="N11" s="70">
        <f>SUM(N9:N10)</f>
        <v>41171</v>
      </c>
      <c r="O11" s="70">
        <f>SUM(O9:O10)</f>
        <v>-27232</v>
      </c>
      <c r="P11" s="70">
        <f t="shared" si="2"/>
        <v>116710</v>
      </c>
      <c r="R11" s="70">
        <f>SUM(R9:R10)</f>
        <v>17593</v>
      </c>
      <c r="S11" s="70">
        <f>SUM(S9:S10)</f>
        <v>7519</v>
      </c>
      <c r="T11" s="70">
        <f>SUM(T9:T10)</f>
        <v>-27044</v>
      </c>
      <c r="U11" s="70">
        <f t="shared" si="3"/>
        <v>-1932</v>
      </c>
    </row>
    <row r="12" spans="1:21" ht="16.5" customHeight="1" thickTop="1" thickBot="1" x14ac:dyDescent="0.25">
      <c r="B12" s="78" t="s">
        <v>97</v>
      </c>
      <c r="C12" s="74">
        <v>0</v>
      </c>
      <c r="D12" s="74">
        <v>0</v>
      </c>
      <c r="E12" s="74">
        <v>40721</v>
      </c>
      <c r="F12" s="74">
        <f t="shared" si="0"/>
        <v>40721</v>
      </c>
      <c r="H12" s="74">
        <v>0</v>
      </c>
      <c r="I12" s="74">
        <v>0</v>
      </c>
      <c r="J12" s="74">
        <v>-7970</v>
      </c>
      <c r="K12" s="74">
        <f t="shared" si="1"/>
        <v>-7970</v>
      </c>
      <c r="M12" s="74">
        <v>0</v>
      </c>
      <c r="N12" s="74">
        <v>0</v>
      </c>
      <c r="O12" s="74">
        <v>1134</v>
      </c>
      <c r="P12" s="74">
        <f t="shared" si="2"/>
        <v>1134</v>
      </c>
      <c r="R12" s="74">
        <v>0</v>
      </c>
      <c r="S12" s="74">
        <v>0</v>
      </c>
      <c r="T12" s="74">
        <v>47557</v>
      </c>
      <c r="U12" s="74">
        <f t="shared" si="3"/>
        <v>47557</v>
      </c>
    </row>
    <row r="13" spans="1:21" ht="16.5" customHeight="1" thickTop="1" thickBot="1" x14ac:dyDescent="0.25">
      <c r="B13" s="75" t="s">
        <v>98</v>
      </c>
      <c r="C13" s="70">
        <f>SUM(C11:C12)</f>
        <v>218326</v>
      </c>
      <c r="D13" s="70">
        <f>SUM(D11:D12)</f>
        <v>88207</v>
      </c>
      <c r="E13" s="70">
        <f>SUM(E11:E12)</f>
        <v>-34985</v>
      </c>
      <c r="F13" s="70">
        <f t="shared" si="0"/>
        <v>271548</v>
      </c>
      <c r="H13" s="70">
        <f>SUM(H11:H12)</f>
        <v>97962</v>
      </c>
      <c r="I13" s="70">
        <f>SUM(I11:I12)</f>
        <v>39517</v>
      </c>
      <c r="J13" s="70">
        <f>SUM(J11:J12)</f>
        <v>-29400</v>
      </c>
      <c r="K13" s="70">
        <f t="shared" si="1"/>
        <v>108079</v>
      </c>
      <c r="M13" s="70">
        <f>SUM(M11:M12)</f>
        <v>102771</v>
      </c>
      <c r="N13" s="70">
        <f>SUM(N11:N12)</f>
        <v>41171</v>
      </c>
      <c r="O13" s="70">
        <f>SUM(O11:O12)</f>
        <v>-26098</v>
      </c>
      <c r="P13" s="70">
        <f t="shared" si="2"/>
        <v>117844</v>
      </c>
      <c r="R13" s="70">
        <f>SUM(R11:R12)</f>
        <v>17593</v>
      </c>
      <c r="S13" s="70">
        <f>SUM(S11:S12)</f>
        <v>7519</v>
      </c>
      <c r="T13" s="70">
        <f>SUM(T11:T12)</f>
        <v>20513</v>
      </c>
      <c r="U13" s="70">
        <f t="shared" si="3"/>
        <v>45625</v>
      </c>
    </row>
    <row r="14" spans="1:21" ht="13.5" hidden="1" customHeight="1" thickTop="1" thickBot="1" x14ac:dyDescent="0.25">
      <c r="B14" s="78" t="s">
        <v>41</v>
      </c>
      <c r="C14" s="74"/>
      <c r="D14" s="74"/>
      <c r="E14" s="74"/>
      <c r="F14" s="74">
        <f t="shared" si="0"/>
        <v>0</v>
      </c>
      <c r="H14" s="74">
        <f t="shared" ref="H14:J14" si="4">C14-M14-R14</f>
        <v>0</v>
      </c>
      <c r="I14" s="74">
        <f t="shared" si="4"/>
        <v>0</v>
      </c>
      <c r="J14" s="74">
        <f t="shared" si="4"/>
        <v>0</v>
      </c>
      <c r="K14" s="74">
        <f t="shared" si="1"/>
        <v>0</v>
      </c>
      <c r="M14" s="74"/>
      <c r="N14" s="74"/>
      <c r="O14" s="74"/>
      <c r="P14" s="74">
        <f t="shared" si="2"/>
        <v>0</v>
      </c>
      <c r="R14" s="74"/>
      <c r="S14" s="74"/>
      <c r="T14" s="74"/>
      <c r="U14" s="74">
        <f t="shared" si="3"/>
        <v>0</v>
      </c>
    </row>
    <row r="15" spans="1:21" ht="16.5" customHeight="1" thickTop="1" thickBot="1" x14ac:dyDescent="0.25">
      <c r="B15" s="78" t="s">
        <v>215</v>
      </c>
      <c r="C15" s="74">
        <v>-14680</v>
      </c>
      <c r="D15" s="74">
        <v>-5071</v>
      </c>
      <c r="E15" s="74">
        <v>-16822</v>
      </c>
      <c r="F15" s="74">
        <f t="shared" si="0"/>
        <v>-36573</v>
      </c>
      <c r="H15" s="74">
        <v>-7704</v>
      </c>
      <c r="I15" s="74">
        <v>-1836</v>
      </c>
      <c r="J15" s="74">
        <v>-7317</v>
      </c>
      <c r="K15" s="74">
        <f t="shared" si="1"/>
        <v>-16857</v>
      </c>
      <c r="M15" s="74">
        <v>-3659</v>
      </c>
      <c r="N15" s="74">
        <v>-1644</v>
      </c>
      <c r="O15" s="74">
        <v>-5889</v>
      </c>
      <c r="P15" s="74">
        <f t="shared" si="2"/>
        <v>-11192</v>
      </c>
      <c r="R15" s="74">
        <v>-3317</v>
      </c>
      <c r="S15" s="74">
        <v>-1591</v>
      </c>
      <c r="T15" s="74">
        <v>-3616</v>
      </c>
      <c r="U15" s="74">
        <f t="shared" si="3"/>
        <v>-8524</v>
      </c>
    </row>
    <row r="16" spans="1:21" ht="16.5" customHeight="1" thickTop="1" thickBot="1" x14ac:dyDescent="0.25">
      <c r="B16" s="78" t="s">
        <v>7</v>
      </c>
      <c r="C16" s="74">
        <v>0</v>
      </c>
      <c r="D16" s="74">
        <v>0</v>
      </c>
      <c r="E16" s="74">
        <v>-46698</v>
      </c>
      <c r="F16" s="74">
        <f t="shared" si="0"/>
        <v>-46698</v>
      </c>
      <c r="H16" s="74">
        <v>0</v>
      </c>
      <c r="I16" s="74">
        <v>0</v>
      </c>
      <c r="J16" s="74">
        <v>-16798</v>
      </c>
      <c r="K16" s="74">
        <f t="shared" si="1"/>
        <v>-16798</v>
      </c>
      <c r="M16" s="74">
        <v>0</v>
      </c>
      <c r="N16" s="74">
        <v>0</v>
      </c>
      <c r="O16" s="74">
        <v>-18629</v>
      </c>
      <c r="P16" s="74">
        <f t="shared" si="2"/>
        <v>-18629</v>
      </c>
      <c r="R16" s="74">
        <v>0</v>
      </c>
      <c r="S16" s="74">
        <v>0</v>
      </c>
      <c r="T16" s="74">
        <v>-11271</v>
      </c>
      <c r="U16" s="74">
        <f t="shared" si="3"/>
        <v>-11271</v>
      </c>
    </row>
    <row r="17" spans="2:21" ht="16.5" customHeight="1" thickTop="1" thickBot="1" x14ac:dyDescent="0.25">
      <c r="B17" s="75" t="s">
        <v>245</v>
      </c>
      <c r="C17" s="70">
        <f>SUM(C13:C16)</f>
        <v>203646</v>
      </c>
      <c r="D17" s="70">
        <f>SUM(D13:D16)</f>
        <v>83136</v>
      </c>
      <c r="E17" s="70">
        <f>SUM(E13:E16)</f>
        <v>-98505</v>
      </c>
      <c r="F17" s="70">
        <f t="shared" si="0"/>
        <v>188277</v>
      </c>
      <c r="H17" s="70">
        <f>SUM(H13:H16)</f>
        <v>90258</v>
      </c>
      <c r="I17" s="70">
        <f>SUM(I13:I16)</f>
        <v>37681</v>
      </c>
      <c r="J17" s="70">
        <f>SUM(J13:J16)</f>
        <v>-53515</v>
      </c>
      <c r="K17" s="70">
        <f t="shared" si="1"/>
        <v>74424</v>
      </c>
      <c r="M17" s="70">
        <f t="shared" ref="M17:O17" si="5">SUM(M13:M16)</f>
        <v>99112</v>
      </c>
      <c r="N17" s="70">
        <f t="shared" si="5"/>
        <v>39527</v>
      </c>
      <c r="O17" s="70">
        <f t="shared" si="5"/>
        <v>-50616</v>
      </c>
      <c r="P17" s="70">
        <f t="shared" ref="P17" si="6">SUM(M17:O17)</f>
        <v>88023</v>
      </c>
      <c r="R17" s="70">
        <f t="shared" ref="R17:T17" si="7">SUM(R13:R16)</f>
        <v>14276</v>
      </c>
      <c r="S17" s="70">
        <f t="shared" si="7"/>
        <v>5928</v>
      </c>
      <c r="T17" s="70">
        <f t="shared" si="7"/>
        <v>5626</v>
      </c>
      <c r="U17" s="70">
        <f t="shared" si="3"/>
        <v>25830</v>
      </c>
    </row>
    <row r="18" spans="2:21" ht="16.5" customHeight="1" thickTop="1" thickBot="1" x14ac:dyDescent="0.25">
      <c r="B18" s="78" t="s">
        <v>244</v>
      </c>
      <c r="C18" s="74">
        <v>0</v>
      </c>
      <c r="D18" s="74">
        <v>0</v>
      </c>
      <c r="E18" s="74">
        <v>20697</v>
      </c>
      <c r="F18" s="74">
        <f t="shared" ref="F18" si="8">SUM(C18:E18)</f>
        <v>20697</v>
      </c>
      <c r="H18" s="74">
        <v>0</v>
      </c>
      <c r="I18" s="74">
        <v>0</v>
      </c>
      <c r="J18" s="74">
        <v>5469</v>
      </c>
      <c r="K18" s="74">
        <f t="shared" si="1"/>
        <v>5469</v>
      </c>
      <c r="M18" s="74">
        <v>0</v>
      </c>
      <c r="N18" s="74">
        <v>0</v>
      </c>
      <c r="O18" s="74">
        <v>10248</v>
      </c>
      <c r="P18" s="74">
        <f t="shared" ref="P18:P19" si="9">SUM(M18:O18)</f>
        <v>10248</v>
      </c>
      <c r="R18" s="74">
        <v>0</v>
      </c>
      <c r="S18" s="74">
        <v>0</v>
      </c>
      <c r="T18" s="74">
        <v>4980</v>
      </c>
      <c r="U18" s="74">
        <f t="shared" si="3"/>
        <v>4980</v>
      </c>
    </row>
    <row r="19" spans="2:21" ht="16.5" customHeight="1" thickTop="1" thickBot="1" x14ac:dyDescent="0.25">
      <c r="B19" s="75" t="s">
        <v>10</v>
      </c>
      <c r="C19" s="70">
        <f>SUM(C17:C18)</f>
        <v>203646</v>
      </c>
      <c r="D19" s="70">
        <f>SUM(D17:D18)</f>
        <v>83136</v>
      </c>
      <c r="E19" s="70">
        <f>SUM(E17:E18)</f>
        <v>-77808</v>
      </c>
      <c r="F19" s="70">
        <f t="shared" si="0"/>
        <v>208974</v>
      </c>
      <c r="H19" s="70">
        <f>SUM(H17:H18)</f>
        <v>90258</v>
      </c>
      <c r="I19" s="70">
        <f>SUM(I17:I18)</f>
        <v>37681</v>
      </c>
      <c r="J19" s="70">
        <f>SUM(J17:J18)</f>
        <v>-48046</v>
      </c>
      <c r="K19" s="70">
        <f t="shared" si="1"/>
        <v>79893</v>
      </c>
      <c r="M19" s="70">
        <f>SUM(M17:M18)</f>
        <v>99112</v>
      </c>
      <c r="N19" s="70">
        <f>SUM(N17:N18)</f>
        <v>39527</v>
      </c>
      <c r="O19" s="70">
        <f>SUM(O17:O18)</f>
        <v>-40368</v>
      </c>
      <c r="P19" s="70">
        <f t="shared" si="9"/>
        <v>98271</v>
      </c>
      <c r="R19" s="70">
        <f>SUM(R17:R18)</f>
        <v>14276</v>
      </c>
      <c r="S19" s="70">
        <f>SUM(S17:S18)</f>
        <v>5928</v>
      </c>
      <c r="T19" s="70">
        <f>SUM(T17:T18)</f>
        <v>10606</v>
      </c>
      <c r="U19" s="70">
        <f t="shared" ref="U19" si="10">SUM(R19:T19)</f>
        <v>30810</v>
      </c>
    </row>
    <row r="20" spans="2:21" ht="13.5" thickTop="1" thickBot="1" x14ac:dyDescent="0.25">
      <c r="B20" s="79"/>
      <c r="C20" s="85"/>
      <c r="D20" s="85"/>
      <c r="E20" s="85"/>
      <c r="F20" s="85"/>
      <c r="H20" s="85"/>
      <c r="I20" s="85"/>
      <c r="J20" s="85"/>
      <c r="K20" s="85"/>
      <c r="M20" s="85"/>
      <c r="N20" s="85"/>
      <c r="O20" s="85"/>
      <c r="P20" s="85"/>
      <c r="R20" s="85"/>
      <c r="S20" s="85"/>
      <c r="T20" s="85"/>
      <c r="U20" s="85"/>
    </row>
    <row r="21" spans="2:21" ht="16.5" customHeight="1" thickTop="1" thickBot="1" x14ac:dyDescent="0.25">
      <c r="B21" s="78" t="s">
        <v>99</v>
      </c>
      <c r="C21" s="74">
        <v>91663</v>
      </c>
      <c r="D21" s="74">
        <v>15605</v>
      </c>
      <c r="E21" s="74">
        <v>9600</v>
      </c>
      <c r="F21" s="180">
        <f t="shared" ref="F21" si="11">SUM(C21:E21)</f>
        <v>116868</v>
      </c>
      <c r="H21" s="74">
        <v>23928</v>
      </c>
      <c r="I21" s="74">
        <v>6848</v>
      </c>
      <c r="J21" s="74">
        <v>5281</v>
      </c>
      <c r="K21" s="86">
        <f t="shared" ref="K21" si="12">SUM(H21:J21)</f>
        <v>36057</v>
      </c>
      <c r="M21" s="74">
        <v>34464</v>
      </c>
      <c r="N21" s="74">
        <v>3980</v>
      </c>
      <c r="O21" s="74">
        <v>3811</v>
      </c>
      <c r="P21" s="86">
        <f t="shared" ref="P21" si="13">SUM(M21:O21)</f>
        <v>42255</v>
      </c>
      <c r="R21" s="74">
        <v>33271</v>
      </c>
      <c r="S21" s="74">
        <v>4777</v>
      </c>
      <c r="T21" s="74">
        <v>508</v>
      </c>
      <c r="U21" s="86">
        <f t="shared" ref="U21" si="14">SUM(R21:T21)</f>
        <v>38556</v>
      </c>
    </row>
    <row r="22" spans="2:21" ht="12.75" thickTop="1" x14ac:dyDescent="0.2">
      <c r="B22" s="87"/>
    </row>
    <row r="23" spans="2:21" ht="12.75" thickBot="1" x14ac:dyDescent="0.25">
      <c r="B23" s="87"/>
    </row>
    <row r="24" spans="2:21" ht="17.100000000000001" customHeight="1" thickTop="1" thickBot="1" x14ac:dyDescent="0.25">
      <c r="B24" s="206"/>
      <c r="C24" s="209" t="s">
        <v>89</v>
      </c>
      <c r="D24" s="220"/>
      <c r="E24" s="221" t="s">
        <v>92</v>
      </c>
      <c r="F24" s="223" t="s">
        <v>268</v>
      </c>
      <c r="H24" s="209" t="s">
        <v>89</v>
      </c>
      <c r="I24" s="220"/>
      <c r="J24" s="221" t="s">
        <v>92</v>
      </c>
      <c r="K24" s="223" t="s">
        <v>266</v>
      </c>
      <c r="M24" s="209" t="s">
        <v>89</v>
      </c>
      <c r="N24" s="220"/>
      <c r="O24" s="221" t="s">
        <v>92</v>
      </c>
      <c r="P24" s="223" t="s">
        <v>241</v>
      </c>
      <c r="R24" s="209" t="s">
        <v>89</v>
      </c>
      <c r="S24" s="220"/>
      <c r="T24" s="221" t="s">
        <v>92</v>
      </c>
      <c r="U24" s="223" t="s">
        <v>186</v>
      </c>
    </row>
    <row r="25" spans="2:21" ht="38.25" customHeight="1" thickTop="1" thickBot="1" x14ac:dyDescent="0.25">
      <c r="B25" s="207"/>
      <c r="C25" s="141" t="s">
        <v>90</v>
      </c>
      <c r="D25" s="141" t="s">
        <v>91</v>
      </c>
      <c r="E25" s="222"/>
      <c r="F25" s="224"/>
      <c r="H25" s="185" t="s">
        <v>90</v>
      </c>
      <c r="I25" s="185" t="s">
        <v>91</v>
      </c>
      <c r="J25" s="222"/>
      <c r="K25" s="224"/>
      <c r="M25" s="167" t="s">
        <v>90</v>
      </c>
      <c r="N25" s="167" t="s">
        <v>91</v>
      </c>
      <c r="O25" s="222"/>
      <c r="P25" s="224"/>
      <c r="R25" s="167" t="s">
        <v>90</v>
      </c>
      <c r="S25" s="167" t="s">
        <v>91</v>
      </c>
      <c r="T25" s="222"/>
      <c r="U25" s="224"/>
    </row>
    <row r="26" spans="2:21" ht="16.5" customHeight="1" thickTop="1" thickBot="1" x14ac:dyDescent="0.25">
      <c r="B26" s="83" t="s">
        <v>93</v>
      </c>
      <c r="C26" s="84">
        <f>C27</f>
        <v>805205</v>
      </c>
      <c r="D26" s="84">
        <f>D27</f>
        <v>239749</v>
      </c>
      <c r="E26" s="84">
        <f>E27</f>
        <v>9819</v>
      </c>
      <c r="F26" s="84">
        <f>SUM(C26:E26)</f>
        <v>1054773</v>
      </c>
      <c r="H26" s="70">
        <v>285267</v>
      </c>
      <c r="I26" s="70">
        <v>90191</v>
      </c>
      <c r="J26" s="70">
        <v>3445</v>
      </c>
      <c r="K26" s="84">
        <f>SUM(H26:J26)</f>
        <v>378903</v>
      </c>
      <c r="M26" s="70">
        <v>314555</v>
      </c>
      <c r="N26" s="70">
        <v>92069</v>
      </c>
      <c r="O26" s="70">
        <v>3580</v>
      </c>
      <c r="P26" s="84">
        <f>SUM(M26:O26)</f>
        <v>410204</v>
      </c>
      <c r="R26" s="84">
        <v>205383</v>
      </c>
      <c r="S26" s="84">
        <v>57489</v>
      </c>
      <c r="T26" s="84">
        <v>2794</v>
      </c>
      <c r="U26" s="84">
        <f>SUM(R26:T26)</f>
        <v>265666</v>
      </c>
    </row>
    <row r="27" spans="2:21" ht="16.5" customHeight="1" thickTop="1" thickBot="1" x14ac:dyDescent="0.25">
      <c r="B27" s="78" t="s">
        <v>94</v>
      </c>
      <c r="C27" s="74">
        <v>805205</v>
      </c>
      <c r="D27" s="74">
        <v>239749</v>
      </c>
      <c r="E27" s="74">
        <v>9819</v>
      </c>
      <c r="F27" s="74">
        <f t="shared" ref="F27:F39" si="15">SUM(C27:E27)</f>
        <v>1054773</v>
      </c>
      <c r="H27" s="74">
        <v>285267</v>
      </c>
      <c r="I27" s="74">
        <v>90191</v>
      </c>
      <c r="J27" s="74">
        <v>3445</v>
      </c>
      <c r="K27" s="74">
        <f t="shared" ref="K27:K36" si="16">SUM(H27:J27)</f>
        <v>378903</v>
      </c>
      <c r="M27" s="74">
        <v>314555</v>
      </c>
      <c r="N27" s="74">
        <v>92069</v>
      </c>
      <c r="O27" s="74">
        <v>3580</v>
      </c>
      <c r="P27" s="74">
        <f t="shared" ref="P27:P39" si="17">SUM(M27:O27)</f>
        <v>410204</v>
      </c>
      <c r="R27" s="74">
        <v>205383</v>
      </c>
      <c r="S27" s="74">
        <v>57489</v>
      </c>
      <c r="T27" s="74">
        <v>2794</v>
      </c>
      <c r="U27" s="74">
        <f t="shared" ref="U27:U39" si="18">SUM(R27:T27)</f>
        <v>265666</v>
      </c>
    </row>
    <row r="28" spans="2:21" ht="16.5" customHeight="1" thickTop="1" thickBot="1" x14ac:dyDescent="0.25">
      <c r="B28" s="75" t="s">
        <v>95</v>
      </c>
      <c r="C28" s="70">
        <v>335383</v>
      </c>
      <c r="D28" s="70">
        <v>118589</v>
      </c>
      <c r="E28" s="70">
        <v>-70117</v>
      </c>
      <c r="F28" s="70">
        <f t="shared" si="15"/>
        <v>383855</v>
      </c>
      <c r="H28" s="70">
        <v>132452</v>
      </c>
      <c r="I28" s="70">
        <v>48043</v>
      </c>
      <c r="J28" s="70">
        <v>-18003</v>
      </c>
      <c r="K28" s="70">
        <f t="shared" si="16"/>
        <v>162492</v>
      </c>
      <c r="M28" s="70">
        <v>148972</v>
      </c>
      <c r="N28" s="70">
        <v>50269</v>
      </c>
      <c r="O28" s="70">
        <v>-26512</v>
      </c>
      <c r="P28" s="70">
        <f t="shared" si="17"/>
        <v>172729</v>
      </c>
      <c r="R28" s="70">
        <v>53959</v>
      </c>
      <c r="S28" s="70">
        <v>20277</v>
      </c>
      <c r="T28" s="70">
        <v>-25602</v>
      </c>
      <c r="U28" s="70">
        <f t="shared" si="18"/>
        <v>48634</v>
      </c>
    </row>
    <row r="29" spans="2:21" ht="16.5" customHeight="1" thickTop="1" thickBot="1" x14ac:dyDescent="0.25">
      <c r="B29" s="75" t="s">
        <v>37</v>
      </c>
      <c r="C29" s="70">
        <v>301345</v>
      </c>
      <c r="D29" s="70">
        <v>111580</v>
      </c>
      <c r="E29" s="70">
        <v>-71351</v>
      </c>
      <c r="F29" s="70">
        <f t="shared" si="15"/>
        <v>341574</v>
      </c>
      <c r="H29" s="70">
        <v>121254</v>
      </c>
      <c r="I29" s="70">
        <v>45663</v>
      </c>
      <c r="J29" s="70">
        <v>-18424</v>
      </c>
      <c r="K29" s="70">
        <f t="shared" si="16"/>
        <v>148493</v>
      </c>
      <c r="M29" s="70">
        <v>136880</v>
      </c>
      <c r="N29" s="70">
        <v>47823</v>
      </c>
      <c r="O29" s="70">
        <v>-26935</v>
      </c>
      <c r="P29" s="70">
        <f t="shared" si="17"/>
        <v>157768</v>
      </c>
      <c r="R29" s="70">
        <v>43211</v>
      </c>
      <c r="S29" s="70">
        <v>18094</v>
      </c>
      <c r="T29" s="70">
        <v>-25992</v>
      </c>
      <c r="U29" s="70">
        <f t="shared" si="18"/>
        <v>35313</v>
      </c>
    </row>
    <row r="30" spans="2:21" ht="16.5" customHeight="1" thickTop="1" thickBot="1" x14ac:dyDescent="0.25">
      <c r="B30" s="78" t="s">
        <v>13</v>
      </c>
      <c r="C30" s="74">
        <v>-91426</v>
      </c>
      <c r="D30" s="74">
        <v>-30217</v>
      </c>
      <c r="E30" s="26">
        <v>-3276</v>
      </c>
      <c r="F30" s="74">
        <f t="shared" si="15"/>
        <v>-124919</v>
      </c>
      <c r="H30" s="74">
        <v>-31473</v>
      </c>
      <c r="I30" s="74">
        <v>-10128</v>
      </c>
      <c r="J30" s="74">
        <v>-1002</v>
      </c>
      <c r="K30" s="74">
        <f t="shared" si="16"/>
        <v>-42603</v>
      </c>
      <c r="M30" s="74">
        <v>-29272</v>
      </c>
      <c r="N30" s="74">
        <v>-10009</v>
      </c>
      <c r="O30" s="74">
        <v>-1122</v>
      </c>
      <c r="P30" s="74">
        <f t="shared" si="17"/>
        <v>-40403</v>
      </c>
      <c r="R30" s="74">
        <v>-30681</v>
      </c>
      <c r="S30" s="74">
        <v>-10080</v>
      </c>
      <c r="T30" s="74">
        <v>-1152</v>
      </c>
      <c r="U30" s="74">
        <f t="shared" si="18"/>
        <v>-41913</v>
      </c>
    </row>
    <row r="31" spans="2:21" ht="16.5" customHeight="1" thickTop="1" thickBot="1" x14ac:dyDescent="0.25">
      <c r="B31" s="75" t="s">
        <v>96</v>
      </c>
      <c r="C31" s="70">
        <f>SUM(C29:C30)</f>
        <v>209919</v>
      </c>
      <c r="D31" s="70">
        <f>SUM(D29:D30)</f>
        <v>81363</v>
      </c>
      <c r="E31" s="70">
        <f>SUM(E29:E30)</f>
        <v>-74627</v>
      </c>
      <c r="F31" s="70">
        <f t="shared" si="15"/>
        <v>216655</v>
      </c>
      <c r="H31" s="70">
        <f>SUM(H29:H30)</f>
        <v>89781</v>
      </c>
      <c r="I31" s="70">
        <f>SUM(I29:I30)</f>
        <v>35535</v>
      </c>
      <c r="J31" s="70">
        <f>SUM(J29:J30)</f>
        <v>-19426</v>
      </c>
      <c r="K31" s="70">
        <f t="shared" si="16"/>
        <v>105890</v>
      </c>
      <c r="M31" s="70">
        <f>SUM(M29:M30)</f>
        <v>107608</v>
      </c>
      <c r="N31" s="70">
        <f>SUM(N29:N30)</f>
        <v>37814</v>
      </c>
      <c r="O31" s="70">
        <f>SUM(O29:O30)</f>
        <v>-28057</v>
      </c>
      <c r="P31" s="70">
        <f t="shared" si="17"/>
        <v>117365</v>
      </c>
      <c r="R31" s="70">
        <f>SUM(R29:R30)</f>
        <v>12530</v>
      </c>
      <c r="S31" s="70">
        <f>SUM(S29:S30)</f>
        <v>8014</v>
      </c>
      <c r="T31" s="70">
        <f>SUM(T29:T30)</f>
        <v>-27144</v>
      </c>
      <c r="U31" s="70">
        <f t="shared" si="18"/>
        <v>-6600</v>
      </c>
    </row>
    <row r="32" spans="2:21" ht="16.5" customHeight="1" thickTop="1" thickBot="1" x14ac:dyDescent="0.25">
      <c r="B32" s="78" t="s">
        <v>97</v>
      </c>
      <c r="C32" s="74">
        <v>0</v>
      </c>
      <c r="D32" s="74">
        <v>0</v>
      </c>
      <c r="E32" s="74">
        <v>130477</v>
      </c>
      <c r="F32" s="74">
        <f t="shared" si="15"/>
        <v>130477</v>
      </c>
      <c r="H32" s="74">
        <v>0</v>
      </c>
      <c r="I32" s="74">
        <v>0</v>
      </c>
      <c r="J32" s="74">
        <v>1026</v>
      </c>
      <c r="K32" s="74">
        <f t="shared" si="16"/>
        <v>1026</v>
      </c>
      <c r="M32" s="74">
        <v>0</v>
      </c>
      <c r="N32" s="74">
        <v>0</v>
      </c>
      <c r="O32" s="74">
        <v>129310</v>
      </c>
      <c r="P32" s="74">
        <f t="shared" si="17"/>
        <v>129310</v>
      </c>
      <c r="R32" s="74">
        <v>0</v>
      </c>
      <c r="S32" s="74">
        <v>0</v>
      </c>
      <c r="T32" s="74">
        <v>141</v>
      </c>
      <c r="U32" s="74">
        <f t="shared" si="18"/>
        <v>141</v>
      </c>
    </row>
    <row r="33" spans="2:21" ht="17.25" customHeight="1" thickTop="1" thickBot="1" x14ac:dyDescent="0.25">
      <c r="B33" s="75" t="s">
        <v>98</v>
      </c>
      <c r="C33" s="70">
        <f>SUM(C31:C32)</f>
        <v>209919</v>
      </c>
      <c r="D33" s="70">
        <f>SUM(D31:D32)</f>
        <v>81363</v>
      </c>
      <c r="E33" s="70">
        <f>SUM(E31:E32)</f>
        <v>55850</v>
      </c>
      <c r="F33" s="70">
        <f t="shared" si="15"/>
        <v>347132</v>
      </c>
      <c r="H33" s="70">
        <f>SUM(H31:H32)</f>
        <v>89781</v>
      </c>
      <c r="I33" s="70">
        <f>SUM(I31:I32)</f>
        <v>35535</v>
      </c>
      <c r="J33" s="70">
        <f>SUM(J31:J32)</f>
        <v>-18400</v>
      </c>
      <c r="K33" s="70">
        <f t="shared" si="16"/>
        <v>106916</v>
      </c>
      <c r="M33" s="70">
        <f>SUM(M31:M32)</f>
        <v>107608</v>
      </c>
      <c r="N33" s="70">
        <f>SUM(N31:N32)</f>
        <v>37814</v>
      </c>
      <c r="O33" s="70">
        <f>SUM(O31:O32)</f>
        <v>101253</v>
      </c>
      <c r="P33" s="70">
        <f t="shared" si="17"/>
        <v>246675</v>
      </c>
      <c r="R33" s="70">
        <f>SUM(R31:R32)</f>
        <v>12530</v>
      </c>
      <c r="S33" s="70">
        <f>SUM(S31:S32)</f>
        <v>8014</v>
      </c>
      <c r="T33" s="70">
        <f>SUM(T31:T32)</f>
        <v>-27003</v>
      </c>
      <c r="U33" s="70">
        <f t="shared" si="18"/>
        <v>-6459</v>
      </c>
    </row>
    <row r="34" spans="2:21" ht="17.25" hidden="1" customHeight="1" thickTop="1" thickBot="1" x14ac:dyDescent="0.25">
      <c r="B34" s="78" t="s">
        <v>41</v>
      </c>
      <c r="C34" s="74"/>
      <c r="D34" s="74"/>
      <c r="E34" s="74"/>
      <c r="F34" s="74">
        <f t="shared" si="15"/>
        <v>0</v>
      </c>
      <c r="H34" s="74">
        <f t="shared" ref="H34" si="19">C34-M34-R34</f>
        <v>0</v>
      </c>
      <c r="I34" s="74">
        <f t="shared" ref="I34" si="20">D34-N34-S34</f>
        <v>0</v>
      </c>
      <c r="J34" s="74">
        <f t="shared" ref="J34" si="21">E34-O34-T34</f>
        <v>0</v>
      </c>
      <c r="K34" s="74">
        <f t="shared" si="16"/>
        <v>0</v>
      </c>
      <c r="M34" s="74"/>
      <c r="N34" s="74"/>
      <c r="O34" s="74"/>
      <c r="P34" s="74">
        <f t="shared" si="17"/>
        <v>0</v>
      </c>
      <c r="R34" s="74"/>
      <c r="S34" s="74"/>
      <c r="T34" s="74"/>
      <c r="U34" s="74">
        <f t="shared" si="18"/>
        <v>0</v>
      </c>
    </row>
    <row r="35" spans="2:21" ht="17.25" customHeight="1" thickTop="1" thickBot="1" x14ac:dyDescent="0.25">
      <c r="B35" s="78" t="s">
        <v>215</v>
      </c>
      <c r="C35" s="74">
        <v>-822</v>
      </c>
      <c r="D35" s="74">
        <v>-612</v>
      </c>
      <c r="E35" s="74">
        <v>-13743</v>
      </c>
      <c r="F35" s="74">
        <f t="shared" si="15"/>
        <v>-15177</v>
      </c>
      <c r="H35" s="74">
        <v>-206</v>
      </c>
      <c r="I35" s="74">
        <v>-220</v>
      </c>
      <c r="J35" s="74">
        <v>-8126</v>
      </c>
      <c r="K35" s="74">
        <f t="shared" si="16"/>
        <v>-8552</v>
      </c>
      <c r="M35" s="74">
        <v>-380</v>
      </c>
      <c r="N35" s="74">
        <v>-225</v>
      </c>
      <c r="O35" s="74">
        <v>-2434</v>
      </c>
      <c r="P35" s="74">
        <f t="shared" si="17"/>
        <v>-3039</v>
      </c>
      <c r="R35" s="74">
        <v>-236</v>
      </c>
      <c r="S35" s="74">
        <v>-167</v>
      </c>
      <c r="T35" s="74">
        <v>-3183</v>
      </c>
      <c r="U35" s="74">
        <f t="shared" si="18"/>
        <v>-3586</v>
      </c>
    </row>
    <row r="36" spans="2:21" ht="16.5" customHeight="1" thickTop="1" thickBot="1" x14ac:dyDescent="0.25">
      <c r="B36" s="78" t="s">
        <v>7</v>
      </c>
      <c r="C36" s="74">
        <v>0</v>
      </c>
      <c r="D36" s="74">
        <v>0</v>
      </c>
      <c r="E36" s="74">
        <v>-47453</v>
      </c>
      <c r="F36" s="74">
        <f t="shared" si="15"/>
        <v>-47453</v>
      </c>
      <c r="H36" s="74">
        <v>0</v>
      </c>
      <c r="I36" s="74">
        <v>0</v>
      </c>
      <c r="J36" s="74">
        <v>-18962</v>
      </c>
      <c r="K36" s="74">
        <f t="shared" si="16"/>
        <v>-18962</v>
      </c>
      <c r="M36" s="74">
        <v>0</v>
      </c>
      <c r="N36" s="74">
        <v>0</v>
      </c>
      <c r="O36" s="74">
        <v>-29744</v>
      </c>
      <c r="P36" s="74">
        <f t="shared" si="17"/>
        <v>-29744</v>
      </c>
      <c r="R36" s="74">
        <v>0</v>
      </c>
      <c r="S36" s="74">
        <v>0</v>
      </c>
      <c r="T36" s="74">
        <v>1253</v>
      </c>
      <c r="U36" s="74">
        <f t="shared" si="18"/>
        <v>1253</v>
      </c>
    </row>
    <row r="37" spans="2:21" ht="16.5" customHeight="1" thickTop="1" thickBot="1" x14ac:dyDescent="0.25">
      <c r="B37" s="75" t="s">
        <v>245</v>
      </c>
      <c r="C37" s="70">
        <f>SUM(C33:C36)</f>
        <v>209097</v>
      </c>
      <c r="D37" s="70">
        <f>SUM(D33:D36)</f>
        <v>80751</v>
      </c>
      <c r="E37" s="70">
        <f>SUM(E33:E36)</f>
        <v>-5346</v>
      </c>
      <c r="F37" s="70">
        <f>SUM(F33:F36)</f>
        <v>284502</v>
      </c>
      <c r="H37" s="70">
        <f>SUM(H33:H36)</f>
        <v>89575</v>
      </c>
      <c r="I37" s="70">
        <f>SUM(I33:I36)</f>
        <v>35315</v>
      </c>
      <c r="J37" s="70">
        <f>SUM(J33:J36)</f>
        <v>-45488</v>
      </c>
      <c r="K37" s="70">
        <f>SUM(K33:K36)</f>
        <v>79402</v>
      </c>
      <c r="M37" s="70">
        <f>SUM(M33:M36)</f>
        <v>107228</v>
      </c>
      <c r="N37" s="70">
        <f>SUM(N33:N36)</f>
        <v>37589</v>
      </c>
      <c r="O37" s="70">
        <f>SUM(O33:O36)</f>
        <v>69075</v>
      </c>
      <c r="P37" s="70">
        <f>SUM(P33:P36)</f>
        <v>213892</v>
      </c>
      <c r="R37" s="70">
        <f>SUM(R33:R36)</f>
        <v>12294</v>
      </c>
      <c r="S37" s="70">
        <f>SUM(S33:S36)</f>
        <v>7847</v>
      </c>
      <c r="T37" s="70">
        <f>SUM(T33:T36)</f>
        <v>-28933</v>
      </c>
      <c r="U37" s="70">
        <f t="shared" si="18"/>
        <v>-8792</v>
      </c>
    </row>
    <row r="38" spans="2:21" ht="16.5" customHeight="1" thickTop="1" thickBot="1" x14ac:dyDescent="0.25">
      <c r="B38" s="78" t="s">
        <v>244</v>
      </c>
      <c r="C38" s="74">
        <v>0</v>
      </c>
      <c r="D38" s="74">
        <v>0</v>
      </c>
      <c r="E38" s="74">
        <v>14180</v>
      </c>
      <c r="F38" s="74">
        <f t="shared" si="15"/>
        <v>14180</v>
      </c>
      <c r="H38" s="74">
        <v>0</v>
      </c>
      <c r="I38" s="74">
        <v>0</v>
      </c>
      <c r="J38" s="74">
        <v>4264</v>
      </c>
      <c r="K38" s="74">
        <f t="shared" ref="K38:K39" si="22">SUM(H38:J38)</f>
        <v>4264</v>
      </c>
      <c r="M38" s="74">
        <v>0</v>
      </c>
      <c r="N38" s="74">
        <v>0</v>
      </c>
      <c r="O38" s="74">
        <v>5512</v>
      </c>
      <c r="P38" s="74">
        <f t="shared" si="17"/>
        <v>5512</v>
      </c>
      <c r="R38" s="74">
        <v>0</v>
      </c>
      <c r="S38" s="74">
        <v>0</v>
      </c>
      <c r="T38" s="74">
        <v>4404</v>
      </c>
      <c r="U38" s="74">
        <f t="shared" si="18"/>
        <v>4404</v>
      </c>
    </row>
    <row r="39" spans="2:21" ht="16.5" customHeight="1" thickTop="1" thickBot="1" x14ac:dyDescent="0.25">
      <c r="B39" s="75" t="s">
        <v>10</v>
      </c>
      <c r="C39" s="70">
        <f>SUM(C37:C38)</f>
        <v>209097</v>
      </c>
      <c r="D39" s="70">
        <f>SUM(D37:D38)</f>
        <v>80751</v>
      </c>
      <c r="E39" s="70">
        <f>SUM(E37:E38)</f>
        <v>8834</v>
      </c>
      <c r="F39" s="70">
        <f t="shared" si="15"/>
        <v>298682</v>
      </c>
      <c r="H39" s="70">
        <f>SUM(H37:H38)</f>
        <v>89575</v>
      </c>
      <c r="I39" s="70">
        <f>SUM(I37:I38)</f>
        <v>35315</v>
      </c>
      <c r="J39" s="70">
        <f>SUM(J37:J38)</f>
        <v>-41224</v>
      </c>
      <c r="K39" s="70">
        <f t="shared" si="22"/>
        <v>83666</v>
      </c>
      <c r="M39" s="70">
        <f t="shared" ref="M39:O39" si="23">SUM(M37:M38)</f>
        <v>107228</v>
      </c>
      <c r="N39" s="70">
        <f t="shared" si="23"/>
        <v>37589</v>
      </c>
      <c r="O39" s="70">
        <f t="shared" si="23"/>
        <v>74587</v>
      </c>
      <c r="P39" s="70">
        <f t="shared" si="17"/>
        <v>219404</v>
      </c>
      <c r="R39" s="70">
        <f t="shared" ref="R39:T39" si="24">SUM(R37:R38)</f>
        <v>12294</v>
      </c>
      <c r="S39" s="70">
        <f t="shared" si="24"/>
        <v>7847</v>
      </c>
      <c r="T39" s="70">
        <f t="shared" si="24"/>
        <v>-24529</v>
      </c>
      <c r="U39" s="70">
        <f t="shared" si="18"/>
        <v>-4388</v>
      </c>
    </row>
    <row r="40" spans="2:21" ht="13.5" thickTop="1" thickBot="1" x14ac:dyDescent="0.25">
      <c r="B40" s="78"/>
      <c r="C40" s="85"/>
      <c r="D40" s="85"/>
      <c r="E40" s="85"/>
      <c r="F40" s="85"/>
      <c r="H40" s="85"/>
      <c r="I40" s="85"/>
      <c r="J40" s="85"/>
      <c r="K40" s="85"/>
      <c r="M40" s="85"/>
      <c r="N40" s="85"/>
      <c r="O40" s="85"/>
      <c r="P40" s="85"/>
      <c r="R40" s="85"/>
      <c r="S40" s="85"/>
      <c r="T40" s="85"/>
      <c r="U40" s="85"/>
    </row>
    <row r="41" spans="2:21" ht="16.5" customHeight="1" thickTop="1" thickBot="1" x14ac:dyDescent="0.25">
      <c r="B41" s="78" t="s">
        <v>99</v>
      </c>
      <c r="C41" s="86">
        <v>128746</v>
      </c>
      <c r="D41" s="86">
        <v>92488</v>
      </c>
      <c r="E41" s="86">
        <v>2870</v>
      </c>
      <c r="F41" s="86">
        <f t="shared" ref="F41" si="25">SUM(C41:E41)</f>
        <v>224104</v>
      </c>
      <c r="H41" s="74">
        <v>72215</v>
      </c>
      <c r="I41" s="74">
        <v>57044</v>
      </c>
      <c r="J41" s="74">
        <v>1301</v>
      </c>
      <c r="K41" s="86">
        <f t="shared" ref="K41" si="26">SUM(H41:J41)</f>
        <v>130560</v>
      </c>
      <c r="M41" s="74">
        <v>33507</v>
      </c>
      <c r="N41" s="74">
        <v>18245</v>
      </c>
      <c r="O41" s="74">
        <v>1046</v>
      </c>
      <c r="P41" s="86">
        <f t="shared" ref="P41" si="27">SUM(M41:O41)</f>
        <v>52798</v>
      </c>
      <c r="R41" s="86">
        <v>23024</v>
      </c>
      <c r="S41" s="86">
        <v>17199</v>
      </c>
      <c r="T41" s="86">
        <v>523</v>
      </c>
      <c r="U41" s="86">
        <f t="shared" ref="U41" si="28">SUM(R41:T41)</f>
        <v>40746</v>
      </c>
    </row>
    <row r="42" spans="2:21" ht="12.75" thickTop="1" x14ac:dyDescent="0.2"/>
    <row r="45" spans="2:21" x14ac:dyDescent="0.2">
      <c r="C45" s="199"/>
      <c r="D45" s="199"/>
      <c r="E45" s="199"/>
      <c r="F45" s="199"/>
    </row>
    <row r="46" spans="2:21" x14ac:dyDescent="0.2">
      <c r="C46" s="199"/>
      <c r="D46" s="199"/>
      <c r="E46" s="199"/>
      <c r="F46" s="199"/>
    </row>
    <row r="47" spans="2:21" x14ac:dyDescent="0.2">
      <c r="C47" s="199"/>
      <c r="D47" s="199"/>
      <c r="E47" s="199"/>
      <c r="F47" s="199"/>
    </row>
    <row r="48" spans="2:21" x14ac:dyDescent="0.2">
      <c r="C48" s="199"/>
      <c r="D48" s="199"/>
      <c r="E48" s="199"/>
      <c r="F48" s="199"/>
    </row>
    <row r="49" spans="3:6" x14ac:dyDescent="0.2">
      <c r="C49" s="199"/>
      <c r="D49" s="199"/>
      <c r="E49" s="199"/>
      <c r="F49" s="199"/>
    </row>
    <row r="50" spans="3:6" x14ac:dyDescent="0.2">
      <c r="C50" s="199"/>
      <c r="D50" s="199"/>
      <c r="E50" s="199"/>
      <c r="F50" s="199"/>
    </row>
    <row r="51" spans="3:6" x14ac:dyDescent="0.2">
      <c r="C51" s="199"/>
      <c r="D51" s="199"/>
      <c r="E51" s="199"/>
      <c r="F51" s="199"/>
    </row>
    <row r="52" spans="3:6" x14ac:dyDescent="0.2">
      <c r="C52" s="199"/>
      <c r="D52" s="199"/>
      <c r="E52" s="199"/>
      <c r="F52" s="199"/>
    </row>
    <row r="53" spans="3:6" x14ac:dyDescent="0.2">
      <c r="C53" s="199"/>
      <c r="D53" s="199"/>
      <c r="E53" s="199"/>
      <c r="F53" s="199"/>
    </row>
    <row r="54" spans="3:6" x14ac:dyDescent="0.2">
      <c r="C54" s="199"/>
      <c r="D54" s="199"/>
      <c r="E54" s="199"/>
      <c r="F54" s="199"/>
    </row>
    <row r="55" spans="3:6" x14ac:dyDescent="0.2">
      <c r="C55" s="199"/>
      <c r="D55" s="199"/>
      <c r="E55" s="199"/>
      <c r="F55" s="199"/>
    </row>
    <row r="56" spans="3:6" x14ac:dyDescent="0.2">
      <c r="C56" s="199"/>
      <c r="D56" s="199"/>
      <c r="E56" s="199"/>
      <c r="F56" s="199"/>
    </row>
    <row r="57" spans="3:6" x14ac:dyDescent="0.2">
      <c r="C57" s="199"/>
      <c r="D57" s="199"/>
      <c r="E57" s="199"/>
      <c r="F57" s="199"/>
    </row>
    <row r="58" spans="3:6" x14ac:dyDescent="0.2">
      <c r="C58" s="199"/>
      <c r="D58" s="199"/>
      <c r="E58" s="199"/>
      <c r="F58" s="199"/>
    </row>
    <row r="59" spans="3:6" x14ac:dyDescent="0.2">
      <c r="C59" s="199"/>
      <c r="D59" s="199"/>
      <c r="E59" s="199"/>
      <c r="F59" s="199"/>
    </row>
    <row r="60" spans="3:6" x14ac:dyDescent="0.2">
      <c r="C60" s="199"/>
      <c r="D60" s="199"/>
      <c r="E60" s="199"/>
      <c r="F60" s="199"/>
    </row>
    <row r="65" spans="3:6" x14ac:dyDescent="0.2">
      <c r="C65" s="199"/>
      <c r="D65" s="199"/>
      <c r="E65" s="199"/>
      <c r="F65" s="199"/>
    </row>
    <row r="66" spans="3:6" x14ac:dyDescent="0.2">
      <c r="C66" s="199"/>
      <c r="D66" s="199"/>
      <c r="E66" s="199"/>
      <c r="F66" s="199"/>
    </row>
    <row r="67" spans="3:6" x14ac:dyDescent="0.2">
      <c r="C67" s="199"/>
      <c r="D67" s="199"/>
      <c r="E67" s="199"/>
      <c r="F67" s="199"/>
    </row>
    <row r="68" spans="3:6" x14ac:dyDescent="0.2">
      <c r="C68" s="199"/>
      <c r="D68" s="199"/>
      <c r="E68" s="199"/>
      <c r="F68" s="199"/>
    </row>
    <row r="69" spans="3:6" x14ac:dyDescent="0.2">
      <c r="C69" s="199"/>
      <c r="D69" s="199"/>
      <c r="E69" s="199"/>
      <c r="F69" s="199"/>
    </row>
    <row r="70" spans="3:6" x14ac:dyDescent="0.2">
      <c r="C70" s="199"/>
      <c r="D70" s="199"/>
      <c r="E70" s="199"/>
      <c r="F70" s="199"/>
    </row>
    <row r="71" spans="3:6" x14ac:dyDescent="0.2">
      <c r="C71" s="199"/>
      <c r="D71" s="199"/>
      <c r="E71" s="199"/>
      <c r="F71" s="199"/>
    </row>
    <row r="72" spans="3:6" x14ac:dyDescent="0.2">
      <c r="C72" s="199"/>
      <c r="D72" s="199"/>
      <c r="E72" s="199"/>
      <c r="F72" s="199"/>
    </row>
    <row r="73" spans="3:6" x14ac:dyDescent="0.2">
      <c r="C73" s="199"/>
      <c r="D73" s="199"/>
      <c r="E73" s="199"/>
      <c r="F73" s="199"/>
    </row>
    <row r="74" spans="3:6" x14ac:dyDescent="0.2">
      <c r="C74" s="199"/>
      <c r="D74" s="199"/>
      <c r="E74" s="199"/>
      <c r="F74" s="199"/>
    </row>
    <row r="75" spans="3:6" x14ac:dyDescent="0.2">
      <c r="C75" s="199"/>
      <c r="D75" s="199"/>
      <c r="E75" s="199"/>
      <c r="F75" s="199"/>
    </row>
    <row r="76" spans="3:6" x14ac:dyDescent="0.2">
      <c r="C76" s="199"/>
      <c r="D76" s="199"/>
      <c r="E76" s="199"/>
      <c r="F76" s="199"/>
    </row>
    <row r="77" spans="3:6" x14ac:dyDescent="0.2">
      <c r="C77" s="199"/>
      <c r="D77" s="199"/>
      <c r="E77" s="199"/>
      <c r="F77" s="199"/>
    </row>
    <row r="78" spans="3:6" x14ac:dyDescent="0.2">
      <c r="C78" s="199"/>
      <c r="D78" s="199"/>
      <c r="E78" s="199"/>
      <c r="F78" s="199"/>
    </row>
    <row r="79" spans="3:6" x14ac:dyDescent="0.2">
      <c r="C79" s="199"/>
      <c r="D79" s="199"/>
      <c r="E79" s="199"/>
      <c r="F79" s="199"/>
    </row>
    <row r="80" spans="3:6" x14ac:dyDescent="0.2">
      <c r="C80" s="199"/>
      <c r="D80" s="199"/>
      <c r="E80" s="199"/>
      <c r="F80" s="199"/>
    </row>
  </sheetData>
  <mergeCells count="26">
    <mergeCell ref="H4:I4"/>
    <mergeCell ref="J4:J5"/>
    <mergeCell ref="K4:K5"/>
    <mergeCell ref="H24:I24"/>
    <mergeCell ref="J24:J25"/>
    <mergeCell ref="K24:K25"/>
    <mergeCell ref="B24:B25"/>
    <mergeCell ref="B4:B5"/>
    <mergeCell ref="C4:D4"/>
    <mergeCell ref="E4:E5"/>
    <mergeCell ref="F4:F5"/>
    <mergeCell ref="C24:D24"/>
    <mergeCell ref="E24:E25"/>
    <mergeCell ref="F24:F25"/>
    <mergeCell ref="M4:N4"/>
    <mergeCell ref="O4:O5"/>
    <mergeCell ref="P4:P5"/>
    <mergeCell ref="M24:N24"/>
    <mergeCell ref="O24:O25"/>
    <mergeCell ref="P24:P25"/>
    <mergeCell ref="R4:S4"/>
    <mergeCell ref="T4:T5"/>
    <mergeCell ref="U4:U5"/>
    <mergeCell ref="R24:S24"/>
    <mergeCell ref="T24:T25"/>
    <mergeCell ref="U24:U25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65" orientation="landscape" horizontalDpi="4294967292" verticalDpi="4294967292" r:id="rId1"/>
  <extLst>
    <ext xmlns:mx="http://schemas.microsoft.com/office/mac/excel/2008/main" uri="{64002731-A6B0-56B0-2670-7721B7C09600}">
      <mx:PLV Mode="0" OnePage="0" WScale="8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D44"/>
  <sheetViews>
    <sheetView showGridLines="0" zoomScaleNormal="100" workbookViewId="0">
      <selection activeCell="B3" sqref="B3"/>
    </sheetView>
  </sheetViews>
  <sheetFormatPr defaultRowHeight="15.75" outlineLevelCol="1" x14ac:dyDescent="0.25"/>
  <cols>
    <col min="1" max="1" width="5" style="28" customWidth="1"/>
    <col min="2" max="2" width="55.25" style="23" customWidth="1"/>
    <col min="3" max="6" width="13.125" style="28" customWidth="1"/>
    <col min="7" max="7" width="15.125" style="28" customWidth="1"/>
    <col min="8" max="8" width="17.625" style="28" customWidth="1"/>
    <col min="10" max="13" width="13.125" style="28" hidden="1" customWidth="1" outlineLevel="1"/>
    <col min="14" max="14" width="15.125" style="28" hidden="1" customWidth="1" outlineLevel="1"/>
    <col min="15" max="15" width="17.625" style="28" hidden="1" customWidth="1" outlineLevel="1"/>
    <col min="16" max="16" width="9" hidden="1" customWidth="1" outlineLevel="1"/>
    <col min="17" max="20" width="13.125" style="28" hidden="1" customWidth="1" outlineLevel="1"/>
    <col min="21" max="21" width="15.125" style="28" hidden="1" customWidth="1" outlineLevel="1"/>
    <col min="22" max="22" width="17.625" style="28" hidden="1" customWidth="1" outlineLevel="1"/>
    <col min="23" max="23" width="9" hidden="1" customWidth="1" outlineLevel="1"/>
    <col min="24" max="27" width="13.125" style="28" hidden="1" customWidth="1" outlineLevel="1"/>
    <col min="28" max="28" width="15.125" style="28" hidden="1" customWidth="1" outlineLevel="1"/>
    <col min="29" max="29" width="17.625" style="28" hidden="1" customWidth="1" outlineLevel="1"/>
    <col min="30" max="30" width="9" collapsed="1"/>
  </cols>
  <sheetData>
    <row r="1" spans="1:29" x14ac:dyDescent="0.25">
      <c r="A1" s="102" t="s">
        <v>8</v>
      </c>
    </row>
    <row r="2" spans="1:29" x14ac:dyDescent="0.25">
      <c r="A2" s="103"/>
    </row>
    <row r="3" spans="1:29" ht="18.75" thickBot="1" x14ac:dyDescent="0.3">
      <c r="A3" s="103"/>
      <c r="B3" s="15" t="s">
        <v>174</v>
      </c>
    </row>
    <row r="4" spans="1:29" ht="17.25" customHeight="1" thickTop="1" thickBot="1" x14ac:dyDescent="0.3">
      <c r="B4" s="206"/>
      <c r="C4" s="209" t="s">
        <v>174</v>
      </c>
      <c r="D4" s="209"/>
      <c r="E4" s="209"/>
      <c r="F4" s="220"/>
      <c r="G4" s="221" t="s">
        <v>175</v>
      </c>
      <c r="H4" s="223" t="s">
        <v>267</v>
      </c>
      <c r="J4" s="209" t="s">
        <v>174</v>
      </c>
      <c r="K4" s="209"/>
      <c r="L4" s="209"/>
      <c r="M4" s="220"/>
      <c r="N4" s="221" t="s">
        <v>175</v>
      </c>
      <c r="O4" s="223" t="s">
        <v>265</v>
      </c>
      <c r="Q4" s="209" t="s">
        <v>174</v>
      </c>
      <c r="R4" s="209"/>
      <c r="S4" s="209"/>
      <c r="T4" s="220"/>
      <c r="U4" s="221" t="s">
        <v>175</v>
      </c>
      <c r="V4" s="223" t="s">
        <v>240</v>
      </c>
      <c r="X4" s="209" t="s">
        <v>174</v>
      </c>
      <c r="Y4" s="209"/>
      <c r="Z4" s="209"/>
      <c r="AA4" s="220"/>
      <c r="AB4" s="221" t="s">
        <v>175</v>
      </c>
      <c r="AC4" s="223" t="s">
        <v>232</v>
      </c>
    </row>
    <row r="5" spans="1:29" ht="30" customHeight="1" thickTop="1" thickBot="1" x14ac:dyDescent="0.3">
      <c r="B5" s="207"/>
      <c r="C5" s="141" t="s">
        <v>100</v>
      </c>
      <c r="D5" s="141" t="s">
        <v>101</v>
      </c>
      <c r="E5" s="141" t="s">
        <v>102</v>
      </c>
      <c r="F5" s="141" t="s">
        <v>103</v>
      </c>
      <c r="G5" s="222"/>
      <c r="H5" s="224"/>
      <c r="J5" s="186" t="s">
        <v>100</v>
      </c>
      <c r="K5" s="186" t="s">
        <v>101</v>
      </c>
      <c r="L5" s="186" t="s">
        <v>102</v>
      </c>
      <c r="M5" s="186" t="s">
        <v>103</v>
      </c>
      <c r="N5" s="222"/>
      <c r="O5" s="224"/>
      <c r="Q5" s="168" t="s">
        <v>100</v>
      </c>
      <c r="R5" s="168" t="s">
        <v>101</v>
      </c>
      <c r="S5" s="168" t="s">
        <v>102</v>
      </c>
      <c r="T5" s="168" t="s">
        <v>103</v>
      </c>
      <c r="U5" s="222"/>
      <c r="V5" s="224"/>
      <c r="X5" s="168" t="s">
        <v>100</v>
      </c>
      <c r="Y5" s="168" t="s">
        <v>101</v>
      </c>
      <c r="Z5" s="168" t="s">
        <v>102</v>
      </c>
      <c r="AA5" s="168" t="s">
        <v>103</v>
      </c>
      <c r="AB5" s="222"/>
      <c r="AC5" s="224"/>
    </row>
    <row r="6" spans="1:29" ht="16.5" thickTop="1" x14ac:dyDescent="0.25">
      <c r="B6" s="83" t="s">
        <v>139</v>
      </c>
      <c r="C6" s="84">
        <f>SUM(C7:C8)</f>
        <v>706153</v>
      </c>
      <c r="D6" s="84">
        <f>SUM(D7:D8)</f>
        <v>219317</v>
      </c>
      <c r="E6" s="84">
        <f>SUM(E7:E8)</f>
        <v>90308</v>
      </c>
      <c r="F6" s="84">
        <f>SUM(F7:F8)</f>
        <v>80735</v>
      </c>
      <c r="G6" s="84">
        <f>SUM(G7:G8)</f>
        <v>-6176</v>
      </c>
      <c r="H6" s="84">
        <f t="shared" ref="H6:H13" si="0">SUM(C6:G6)</f>
        <v>1090337</v>
      </c>
      <c r="J6" s="84">
        <f>SUM(J7:J8)</f>
        <v>258767</v>
      </c>
      <c r="K6" s="84">
        <f>SUM(K7:K8)</f>
        <v>88180</v>
      </c>
      <c r="L6" s="84">
        <f>SUM(L7:L8)</f>
        <v>34076</v>
      </c>
      <c r="M6" s="84">
        <f>SUM(M7:M8)</f>
        <v>28507</v>
      </c>
      <c r="N6" s="84">
        <f>SUM(N7:N8)</f>
        <v>-3245</v>
      </c>
      <c r="O6" s="84">
        <f t="shared" ref="O6:O13" si="1">SUM(J6:N6)</f>
        <v>406285</v>
      </c>
      <c r="Q6" s="84">
        <f>SUM(Q7:Q8)</f>
        <v>263540</v>
      </c>
      <c r="R6" s="84">
        <f>SUM(R7:R8)</f>
        <v>84638</v>
      </c>
      <c r="S6" s="84">
        <f>SUM(S7:S8)</f>
        <v>36102</v>
      </c>
      <c r="T6" s="84">
        <f>SUM(T7:T8)</f>
        <v>32079</v>
      </c>
      <c r="U6" s="84">
        <f>SUM(U7:U8)</f>
        <v>-1780</v>
      </c>
      <c r="V6" s="84">
        <f t="shared" ref="V6:V13" si="2">SUM(Q6:U6)</f>
        <v>414579</v>
      </c>
      <c r="X6" s="84">
        <f>SUM(X7:X8)</f>
        <v>183846</v>
      </c>
      <c r="Y6" s="84">
        <f>SUM(Y7:Y8)</f>
        <v>46499</v>
      </c>
      <c r="Z6" s="84">
        <f>SUM(Z7:Z8)</f>
        <v>20130</v>
      </c>
      <c r="AA6" s="84">
        <f>SUM(AA7:AA8)</f>
        <v>20149</v>
      </c>
      <c r="AB6" s="84">
        <f>SUM(AB7:AB8)</f>
        <v>-1151</v>
      </c>
      <c r="AC6" s="84">
        <f t="shared" ref="AC6:AC13" si="3">SUM(X6:AB6)</f>
        <v>269473</v>
      </c>
    </row>
    <row r="7" spans="1:29" ht="16.5" thickBot="1" x14ac:dyDescent="0.3">
      <c r="B7" s="78" t="s">
        <v>94</v>
      </c>
      <c r="C7" s="74">
        <v>702733</v>
      </c>
      <c r="D7" s="74">
        <v>219305</v>
      </c>
      <c r="E7" s="74">
        <v>90308</v>
      </c>
      <c r="F7" s="74">
        <v>77991</v>
      </c>
      <c r="G7" s="74">
        <v>0</v>
      </c>
      <c r="H7" s="74">
        <f t="shared" si="0"/>
        <v>1090337</v>
      </c>
      <c r="J7" s="74">
        <f t="shared" ref="J7:J11" si="4">C7-Q7-X7</f>
        <v>256437</v>
      </c>
      <c r="K7" s="74">
        <f t="shared" ref="K7:K11" si="5">D7-R7-Y7</f>
        <v>88176</v>
      </c>
      <c r="L7" s="74">
        <f t="shared" ref="L7:L11" si="6">E7-S7-Z7</f>
        <v>34076</v>
      </c>
      <c r="M7" s="74">
        <f t="shared" ref="M7:M11" si="7">F7-T7-AA7</f>
        <v>27596</v>
      </c>
      <c r="N7" s="74">
        <f t="shared" ref="N7:N11" si="8">G7-U7-AB7</f>
        <v>0</v>
      </c>
      <c r="O7" s="74">
        <f t="shared" si="1"/>
        <v>406285</v>
      </c>
      <c r="Q7" s="74">
        <v>262961</v>
      </c>
      <c r="R7" s="74">
        <v>84630</v>
      </c>
      <c r="S7" s="74">
        <v>36102</v>
      </c>
      <c r="T7" s="74">
        <v>30886</v>
      </c>
      <c r="U7" s="74">
        <v>0</v>
      </c>
      <c r="V7" s="74">
        <f t="shared" si="2"/>
        <v>414579</v>
      </c>
      <c r="X7" s="74">
        <v>183335</v>
      </c>
      <c r="Y7" s="74">
        <v>46499</v>
      </c>
      <c r="Z7" s="74">
        <v>20130</v>
      </c>
      <c r="AA7" s="74">
        <v>19509</v>
      </c>
      <c r="AB7" s="74">
        <v>0</v>
      </c>
      <c r="AC7" s="74">
        <f t="shared" si="3"/>
        <v>269473</v>
      </c>
    </row>
    <row r="8" spans="1:29" ht="17.25" thickTop="1" thickBot="1" x14ac:dyDescent="0.3">
      <c r="B8" s="78" t="s">
        <v>211</v>
      </c>
      <c r="C8" s="74">
        <v>3420</v>
      </c>
      <c r="D8" s="74">
        <v>12</v>
      </c>
      <c r="E8" s="74">
        <v>0</v>
      </c>
      <c r="F8" s="74">
        <v>2744</v>
      </c>
      <c r="G8" s="74">
        <v>-6176</v>
      </c>
      <c r="H8" s="74">
        <f t="shared" si="0"/>
        <v>0</v>
      </c>
      <c r="J8" s="74">
        <f t="shared" si="4"/>
        <v>2330</v>
      </c>
      <c r="K8" s="74">
        <f t="shared" si="5"/>
        <v>4</v>
      </c>
      <c r="L8" s="74">
        <f t="shared" si="6"/>
        <v>0</v>
      </c>
      <c r="M8" s="74">
        <f t="shared" si="7"/>
        <v>911</v>
      </c>
      <c r="N8" s="74">
        <f t="shared" si="8"/>
        <v>-3245</v>
      </c>
      <c r="O8" s="74">
        <f t="shared" si="1"/>
        <v>0</v>
      </c>
      <c r="Q8" s="74">
        <v>579</v>
      </c>
      <c r="R8" s="74">
        <v>8</v>
      </c>
      <c r="S8" s="74">
        <v>0</v>
      </c>
      <c r="T8" s="74">
        <v>1193</v>
      </c>
      <c r="U8" s="74">
        <v>-1780</v>
      </c>
      <c r="V8" s="74">
        <f t="shared" si="2"/>
        <v>0</v>
      </c>
      <c r="X8" s="74">
        <v>511</v>
      </c>
      <c r="Y8" s="74">
        <v>0</v>
      </c>
      <c r="Z8" s="74">
        <v>0</v>
      </c>
      <c r="AA8" s="74">
        <v>640</v>
      </c>
      <c r="AB8" s="74">
        <v>-1151</v>
      </c>
      <c r="AC8" s="74">
        <f t="shared" si="3"/>
        <v>0</v>
      </c>
    </row>
    <row r="9" spans="1:29" ht="17.25" thickTop="1" thickBot="1" x14ac:dyDescent="0.3">
      <c r="B9" s="75" t="s">
        <v>95</v>
      </c>
      <c r="C9" s="70">
        <v>246817</v>
      </c>
      <c r="D9" s="70">
        <v>85206</v>
      </c>
      <c r="E9" s="70">
        <v>41069</v>
      </c>
      <c r="F9" s="70">
        <v>30523</v>
      </c>
      <c r="G9" s="70">
        <v>178</v>
      </c>
      <c r="H9" s="70">
        <f t="shared" si="0"/>
        <v>403793</v>
      </c>
      <c r="J9" s="70">
        <f t="shared" si="4"/>
        <v>107444</v>
      </c>
      <c r="K9" s="70">
        <f t="shared" si="5"/>
        <v>38710</v>
      </c>
      <c r="L9" s="70">
        <f t="shared" si="6"/>
        <v>17312</v>
      </c>
      <c r="M9" s="70">
        <f t="shared" si="7"/>
        <v>10862</v>
      </c>
      <c r="N9" s="70">
        <f t="shared" si="8"/>
        <v>194</v>
      </c>
      <c r="O9" s="70">
        <f t="shared" si="1"/>
        <v>174522</v>
      </c>
      <c r="Q9" s="70">
        <v>103661</v>
      </c>
      <c r="R9" s="70">
        <v>37999</v>
      </c>
      <c r="S9" s="70">
        <v>19132</v>
      </c>
      <c r="T9" s="70">
        <v>14446</v>
      </c>
      <c r="U9" s="70">
        <v>-48</v>
      </c>
      <c r="V9" s="70">
        <f t="shared" si="2"/>
        <v>175190</v>
      </c>
      <c r="X9" s="70">
        <v>35712</v>
      </c>
      <c r="Y9" s="70">
        <v>8497</v>
      </c>
      <c r="Z9" s="70">
        <v>4625</v>
      </c>
      <c r="AA9" s="70">
        <v>5215</v>
      </c>
      <c r="AB9" s="70">
        <v>32</v>
      </c>
      <c r="AC9" s="70">
        <f t="shared" si="3"/>
        <v>54081</v>
      </c>
    </row>
    <row r="10" spans="1:29" ht="17.25" thickTop="1" thickBot="1" x14ac:dyDescent="0.3">
      <c r="B10" s="75" t="s">
        <v>37</v>
      </c>
      <c r="C10" s="70">
        <v>246817</v>
      </c>
      <c r="D10" s="70">
        <v>84928</v>
      </c>
      <c r="E10" s="70">
        <v>41063</v>
      </c>
      <c r="F10" s="70">
        <v>21912</v>
      </c>
      <c r="G10" s="70">
        <v>178</v>
      </c>
      <c r="H10" s="70">
        <f t="shared" si="0"/>
        <v>394898</v>
      </c>
      <c r="J10" s="70">
        <f t="shared" si="4"/>
        <v>107444</v>
      </c>
      <c r="K10" s="70">
        <f t="shared" si="5"/>
        <v>38620</v>
      </c>
      <c r="L10" s="70">
        <f t="shared" si="6"/>
        <v>17306</v>
      </c>
      <c r="M10" s="70">
        <f t="shared" si="7"/>
        <v>8022</v>
      </c>
      <c r="N10" s="70">
        <f t="shared" si="8"/>
        <v>194</v>
      </c>
      <c r="O10" s="70">
        <f t="shared" si="1"/>
        <v>171586</v>
      </c>
      <c r="Q10" s="70">
        <v>103661</v>
      </c>
      <c r="R10" s="70">
        <v>37904</v>
      </c>
      <c r="S10" s="70">
        <v>19400</v>
      </c>
      <c r="T10" s="70">
        <v>10914</v>
      </c>
      <c r="U10" s="70">
        <v>-48</v>
      </c>
      <c r="V10" s="70">
        <f t="shared" si="2"/>
        <v>171831</v>
      </c>
      <c r="X10" s="70">
        <v>35712</v>
      </c>
      <c r="Y10" s="70">
        <v>8404</v>
      </c>
      <c r="Z10" s="70">
        <v>4357</v>
      </c>
      <c r="AA10" s="70">
        <v>2976</v>
      </c>
      <c r="AB10" s="70">
        <v>32</v>
      </c>
      <c r="AC10" s="70">
        <f t="shared" si="3"/>
        <v>51481</v>
      </c>
    </row>
    <row r="11" spans="1:29" ht="17.25" thickTop="1" thickBot="1" x14ac:dyDescent="0.3">
      <c r="B11" s="78" t="s">
        <v>13</v>
      </c>
      <c r="C11" s="74">
        <v>-103059</v>
      </c>
      <c r="D11" s="74">
        <v>-32906</v>
      </c>
      <c r="E11" s="74">
        <v>-18814</v>
      </c>
      <c r="F11" s="74">
        <v>-9292</v>
      </c>
      <c r="G11" s="74">
        <v>0</v>
      </c>
      <c r="H11" s="74">
        <f t="shared" si="0"/>
        <v>-164071</v>
      </c>
      <c r="J11" s="74">
        <f t="shared" si="4"/>
        <v>-35194</v>
      </c>
      <c r="K11" s="74">
        <f t="shared" si="5"/>
        <v>-10821</v>
      </c>
      <c r="L11" s="74">
        <f t="shared" si="6"/>
        <v>-6388</v>
      </c>
      <c r="M11" s="74">
        <f t="shared" si="7"/>
        <v>-3134</v>
      </c>
      <c r="N11" s="74">
        <f t="shared" si="8"/>
        <v>0</v>
      </c>
      <c r="O11" s="74">
        <f t="shared" si="1"/>
        <v>-55537</v>
      </c>
      <c r="Q11" s="74">
        <v>-34856</v>
      </c>
      <c r="R11" s="74">
        <v>-11057</v>
      </c>
      <c r="S11" s="74">
        <v>-6393</v>
      </c>
      <c r="T11" s="74">
        <v>-2815</v>
      </c>
      <c r="U11" s="74">
        <v>0</v>
      </c>
      <c r="V11" s="74">
        <f t="shared" si="2"/>
        <v>-55121</v>
      </c>
      <c r="X11" s="74">
        <v>-33009</v>
      </c>
      <c r="Y11" s="74">
        <v>-11028</v>
      </c>
      <c r="Z11" s="74">
        <v>-6033</v>
      </c>
      <c r="AA11" s="74">
        <v>-3343</v>
      </c>
      <c r="AB11" s="74">
        <v>0</v>
      </c>
      <c r="AC11" s="74">
        <f t="shared" si="3"/>
        <v>-53413</v>
      </c>
    </row>
    <row r="12" spans="1:29" ht="17.25" thickTop="1" thickBot="1" x14ac:dyDescent="0.3">
      <c r="B12" s="75" t="s">
        <v>96</v>
      </c>
      <c r="C12" s="70">
        <f>SUM(C10:C11)</f>
        <v>143758</v>
      </c>
      <c r="D12" s="70">
        <f>SUM(D10:D11)</f>
        <v>52022</v>
      </c>
      <c r="E12" s="70">
        <f>SUM(E10:E11)</f>
        <v>22249</v>
      </c>
      <c r="F12" s="70">
        <f>SUM(F10:F11)</f>
        <v>12620</v>
      </c>
      <c r="G12" s="70">
        <f>SUM(G10:G11)</f>
        <v>178</v>
      </c>
      <c r="H12" s="70">
        <f t="shared" si="0"/>
        <v>230827</v>
      </c>
      <c r="J12" s="70">
        <f>SUM(J10:J11)</f>
        <v>72250</v>
      </c>
      <c r="K12" s="70">
        <f>SUM(K10:K11)</f>
        <v>27799</v>
      </c>
      <c r="L12" s="70">
        <f>SUM(L10:L11)</f>
        <v>10918</v>
      </c>
      <c r="M12" s="70">
        <f>SUM(M10:M11)</f>
        <v>4888</v>
      </c>
      <c r="N12" s="70">
        <f>SUM(N10:N11)</f>
        <v>194</v>
      </c>
      <c r="O12" s="70">
        <f t="shared" si="1"/>
        <v>116049</v>
      </c>
      <c r="Q12" s="70">
        <f>SUM(Q10:Q11)</f>
        <v>68805</v>
      </c>
      <c r="R12" s="70">
        <f>SUM(R10:R11)</f>
        <v>26847</v>
      </c>
      <c r="S12" s="70">
        <f>SUM(S10:S11)</f>
        <v>13007</v>
      </c>
      <c r="T12" s="70">
        <f>SUM(T10:T11)</f>
        <v>8099</v>
      </c>
      <c r="U12" s="70">
        <f>SUM(U10:U11)</f>
        <v>-48</v>
      </c>
      <c r="V12" s="70">
        <f t="shared" si="2"/>
        <v>116710</v>
      </c>
      <c r="X12" s="70">
        <f>SUM(X10:X11)</f>
        <v>2703</v>
      </c>
      <c r="Y12" s="70">
        <f>SUM(Y10:Y11)</f>
        <v>-2624</v>
      </c>
      <c r="Z12" s="70">
        <f>SUM(Z10:Z11)</f>
        <v>-1676</v>
      </c>
      <c r="AA12" s="70">
        <f>SUM(AA10:AA11)</f>
        <v>-367</v>
      </c>
      <c r="AB12" s="70">
        <f>SUM(AB10:AB11)</f>
        <v>32</v>
      </c>
      <c r="AC12" s="70">
        <f t="shared" si="3"/>
        <v>-1932</v>
      </c>
    </row>
    <row r="13" spans="1:29" ht="17.25" thickTop="1" thickBot="1" x14ac:dyDescent="0.3">
      <c r="B13" s="78" t="s">
        <v>99</v>
      </c>
      <c r="C13" s="197">
        <v>73513</v>
      </c>
      <c r="D13" s="197">
        <v>38258</v>
      </c>
      <c r="E13" s="197">
        <v>778</v>
      </c>
      <c r="F13" s="197">
        <v>4319</v>
      </c>
      <c r="G13" s="197">
        <v>0</v>
      </c>
      <c r="H13" s="140">
        <f t="shared" si="0"/>
        <v>116868</v>
      </c>
      <c r="J13" s="74">
        <v>25740</v>
      </c>
      <c r="K13" s="74">
        <v>8334</v>
      </c>
      <c r="L13" s="74">
        <v>317</v>
      </c>
      <c r="M13" s="74">
        <v>1666</v>
      </c>
      <c r="N13" s="74">
        <v>0</v>
      </c>
      <c r="O13" s="140">
        <f t="shared" si="1"/>
        <v>36057</v>
      </c>
      <c r="Q13" s="74">
        <f>47773-X13</f>
        <v>27878</v>
      </c>
      <c r="R13" s="74">
        <f>29924-Y13</f>
        <v>15261</v>
      </c>
      <c r="S13" s="74">
        <f>461-Z13</f>
        <v>333</v>
      </c>
      <c r="T13" s="197">
        <f>2653-AA13</f>
        <v>334</v>
      </c>
      <c r="U13" s="74">
        <f t="shared" ref="U13" si="9">G13-AB13</f>
        <v>0</v>
      </c>
      <c r="V13" s="140">
        <f t="shared" si="2"/>
        <v>43806</v>
      </c>
      <c r="X13" s="140">
        <v>19895</v>
      </c>
      <c r="Y13" s="140">
        <v>14663</v>
      </c>
      <c r="Z13" s="140">
        <v>128</v>
      </c>
      <c r="AA13" s="197">
        <f>3870-1551</f>
        <v>2319</v>
      </c>
      <c r="AB13" s="140">
        <v>0</v>
      </c>
      <c r="AC13" s="140">
        <f t="shared" si="3"/>
        <v>37005</v>
      </c>
    </row>
    <row r="14" spans="1:29" ht="17.25" thickTop="1" thickBot="1" x14ac:dyDescent="0.3">
      <c r="B14" s="87"/>
    </row>
    <row r="15" spans="1:29" ht="17.25" customHeight="1" thickTop="1" thickBot="1" x14ac:dyDescent="0.3">
      <c r="B15" s="206"/>
      <c r="C15" s="209" t="s">
        <v>174</v>
      </c>
      <c r="D15" s="209"/>
      <c r="E15" s="209"/>
      <c r="F15" s="220"/>
      <c r="G15" s="221" t="s">
        <v>175</v>
      </c>
      <c r="H15" s="223" t="s">
        <v>268</v>
      </c>
      <c r="J15" s="209" t="s">
        <v>174</v>
      </c>
      <c r="K15" s="209"/>
      <c r="L15" s="209"/>
      <c r="M15" s="220"/>
      <c r="N15" s="221" t="s">
        <v>175</v>
      </c>
      <c r="O15" s="223" t="s">
        <v>266</v>
      </c>
      <c r="Q15" s="209" t="s">
        <v>174</v>
      </c>
      <c r="R15" s="209"/>
      <c r="S15" s="209"/>
      <c r="T15" s="220"/>
      <c r="U15" s="221" t="s">
        <v>175</v>
      </c>
      <c r="V15" s="223" t="s">
        <v>241</v>
      </c>
      <c r="X15" s="209" t="s">
        <v>174</v>
      </c>
      <c r="Y15" s="209"/>
      <c r="Z15" s="209"/>
      <c r="AA15" s="220"/>
      <c r="AB15" s="221" t="s">
        <v>175</v>
      </c>
      <c r="AC15" s="223" t="s">
        <v>186</v>
      </c>
    </row>
    <row r="16" spans="1:29" ht="34.5" customHeight="1" thickTop="1" thickBot="1" x14ac:dyDescent="0.3">
      <c r="B16" s="207"/>
      <c r="C16" s="141" t="s">
        <v>100</v>
      </c>
      <c r="D16" s="141" t="s">
        <v>101</v>
      </c>
      <c r="E16" s="141" t="s">
        <v>102</v>
      </c>
      <c r="F16" s="141" t="s">
        <v>103</v>
      </c>
      <c r="G16" s="222"/>
      <c r="H16" s="224"/>
      <c r="J16" s="186" t="s">
        <v>100</v>
      </c>
      <c r="K16" s="186" t="s">
        <v>101</v>
      </c>
      <c r="L16" s="186" t="s">
        <v>102</v>
      </c>
      <c r="M16" s="186" t="s">
        <v>103</v>
      </c>
      <c r="N16" s="222"/>
      <c r="O16" s="224"/>
      <c r="Q16" s="168" t="s">
        <v>100</v>
      </c>
      <c r="R16" s="168" t="s">
        <v>101</v>
      </c>
      <c r="S16" s="168" t="s">
        <v>102</v>
      </c>
      <c r="T16" s="168" t="s">
        <v>103</v>
      </c>
      <c r="U16" s="222"/>
      <c r="V16" s="224"/>
      <c r="X16" s="168" t="s">
        <v>100</v>
      </c>
      <c r="Y16" s="168" t="s">
        <v>101</v>
      </c>
      <c r="Z16" s="168" t="s">
        <v>102</v>
      </c>
      <c r="AA16" s="168" t="s">
        <v>103</v>
      </c>
      <c r="AB16" s="222"/>
      <c r="AC16" s="224"/>
    </row>
    <row r="17" spans="2:29" ht="16.5" thickTop="1" x14ac:dyDescent="0.25">
      <c r="B17" s="83" t="s">
        <v>93</v>
      </c>
      <c r="C17" s="84">
        <f>SUM(C18:C19)</f>
        <v>662804</v>
      </c>
      <c r="D17" s="84">
        <f t="shared" ref="D17:G17" si="10">SUM(D18:D19)</f>
        <v>236304</v>
      </c>
      <c r="E17" s="84">
        <f t="shared" si="10"/>
        <v>91191</v>
      </c>
      <c r="F17" s="84">
        <f t="shared" si="10"/>
        <v>65286</v>
      </c>
      <c r="G17" s="84">
        <f t="shared" si="10"/>
        <v>-812</v>
      </c>
      <c r="H17" s="84">
        <f t="shared" ref="H17:H22" si="11">SUM(C17:G17)</f>
        <v>1054773</v>
      </c>
      <c r="J17" s="84">
        <f>SUM(J18:J19)</f>
        <v>239348</v>
      </c>
      <c r="K17" s="84">
        <f>SUM(K18:K19)</f>
        <v>81277</v>
      </c>
      <c r="L17" s="84">
        <f>SUM(L18:L19)</f>
        <v>34674</v>
      </c>
      <c r="M17" s="84">
        <f>SUM(M18:M19)</f>
        <v>23907</v>
      </c>
      <c r="N17" s="84">
        <f>SUM(N18:N19)</f>
        <v>-303</v>
      </c>
      <c r="O17" s="84">
        <f t="shared" ref="O17:O22" si="12">SUM(J17:N17)</f>
        <v>378903</v>
      </c>
      <c r="Q17" s="84">
        <f>SUM(Q18:Q19)</f>
        <v>254248</v>
      </c>
      <c r="R17" s="84">
        <f>SUM(R18:R19)</f>
        <v>96000</v>
      </c>
      <c r="S17" s="84">
        <f>SUM(S18:S19)</f>
        <v>36309</v>
      </c>
      <c r="T17" s="84">
        <f>SUM(T18:T19)</f>
        <v>23940</v>
      </c>
      <c r="U17" s="84">
        <f>SUM(U18:U19)</f>
        <v>-293</v>
      </c>
      <c r="V17" s="84">
        <f t="shared" ref="V17:V22" si="13">SUM(Q17:U17)</f>
        <v>410204</v>
      </c>
      <c r="X17" s="84">
        <f>SUM(X18:X19)</f>
        <v>169208</v>
      </c>
      <c r="Y17" s="84">
        <f>SUM(Y18:Y19)</f>
        <v>59027</v>
      </c>
      <c r="Z17" s="84">
        <f>SUM(Z18:Z19)</f>
        <v>20208</v>
      </c>
      <c r="AA17" s="84">
        <f>SUM(AA18:AA19)</f>
        <v>17439</v>
      </c>
      <c r="AB17" s="84">
        <f>SUM(AB18:AB19)</f>
        <v>-216</v>
      </c>
      <c r="AC17" s="84">
        <f t="shared" ref="AC17:AC22" si="14">SUM(X17:AB17)</f>
        <v>265666</v>
      </c>
    </row>
    <row r="18" spans="2:29" ht="16.5" thickBot="1" x14ac:dyDescent="0.3">
      <c r="B18" s="78" t="s">
        <v>94</v>
      </c>
      <c r="C18" s="74">
        <v>661992</v>
      </c>
      <c r="D18" s="74">
        <v>236304</v>
      </c>
      <c r="E18" s="74">
        <v>91191</v>
      </c>
      <c r="F18" s="74">
        <v>65286</v>
      </c>
      <c r="G18" s="74">
        <v>0</v>
      </c>
      <c r="H18" s="74">
        <f t="shared" si="11"/>
        <v>1054773</v>
      </c>
      <c r="J18" s="74">
        <v>239045</v>
      </c>
      <c r="K18" s="74">
        <v>81277</v>
      </c>
      <c r="L18" s="74">
        <v>34674</v>
      </c>
      <c r="M18" s="74">
        <v>23907</v>
      </c>
      <c r="N18" s="74">
        <v>0</v>
      </c>
      <c r="O18" s="74">
        <f t="shared" si="12"/>
        <v>378903</v>
      </c>
      <c r="Q18" s="74">
        <v>253955</v>
      </c>
      <c r="R18" s="74">
        <v>96000</v>
      </c>
      <c r="S18" s="74">
        <v>36309</v>
      </c>
      <c r="T18" s="74">
        <v>23940</v>
      </c>
      <c r="U18" s="74">
        <v>0</v>
      </c>
      <c r="V18" s="74">
        <f t="shared" si="13"/>
        <v>410204</v>
      </c>
      <c r="X18" s="74">
        <v>168992</v>
      </c>
      <c r="Y18" s="74">
        <v>59027</v>
      </c>
      <c r="Z18" s="74">
        <v>20208</v>
      </c>
      <c r="AA18" s="74">
        <v>17439</v>
      </c>
      <c r="AB18" s="74">
        <v>0</v>
      </c>
      <c r="AC18" s="74">
        <f t="shared" si="14"/>
        <v>265666</v>
      </c>
    </row>
    <row r="19" spans="2:29" ht="17.25" thickTop="1" thickBot="1" x14ac:dyDescent="0.3">
      <c r="B19" s="78" t="s">
        <v>176</v>
      </c>
      <c r="C19" s="74">
        <v>812</v>
      </c>
      <c r="D19" s="74">
        <v>0</v>
      </c>
      <c r="E19" s="74">
        <v>0</v>
      </c>
      <c r="F19" s="74">
        <v>0</v>
      </c>
      <c r="G19" s="74">
        <v>-812</v>
      </c>
      <c r="H19" s="74">
        <f t="shared" si="11"/>
        <v>0</v>
      </c>
      <c r="J19" s="74">
        <v>303</v>
      </c>
      <c r="K19" s="74">
        <v>0</v>
      </c>
      <c r="L19" s="74">
        <v>0</v>
      </c>
      <c r="M19" s="74">
        <v>0</v>
      </c>
      <c r="N19" s="74">
        <v>-303</v>
      </c>
      <c r="O19" s="74">
        <f t="shared" si="12"/>
        <v>0</v>
      </c>
      <c r="Q19" s="74">
        <v>293</v>
      </c>
      <c r="R19" s="74">
        <v>0</v>
      </c>
      <c r="S19" s="74">
        <v>0</v>
      </c>
      <c r="T19" s="74">
        <v>0</v>
      </c>
      <c r="U19" s="74">
        <v>-293</v>
      </c>
      <c r="V19" s="74">
        <f t="shared" si="13"/>
        <v>0</v>
      </c>
      <c r="X19" s="74">
        <v>216</v>
      </c>
      <c r="Y19" s="74">
        <v>0</v>
      </c>
      <c r="Z19" s="74">
        <v>0</v>
      </c>
      <c r="AA19" s="74">
        <v>0</v>
      </c>
      <c r="AB19" s="74">
        <v>-216</v>
      </c>
      <c r="AC19" s="74">
        <f t="shared" si="14"/>
        <v>0</v>
      </c>
    </row>
    <row r="20" spans="2:29" ht="17.25" thickTop="1" thickBot="1" x14ac:dyDescent="0.3">
      <c r="B20" s="75" t="s">
        <v>95</v>
      </c>
      <c r="C20" s="70">
        <v>223456</v>
      </c>
      <c r="D20" s="70">
        <v>95115</v>
      </c>
      <c r="E20" s="70">
        <v>40898</v>
      </c>
      <c r="F20" s="70">
        <v>24389</v>
      </c>
      <c r="G20" s="70">
        <v>-3</v>
      </c>
      <c r="H20" s="70">
        <f t="shared" si="11"/>
        <v>383855</v>
      </c>
      <c r="J20" s="70">
        <v>96880</v>
      </c>
      <c r="K20" s="70">
        <v>39531</v>
      </c>
      <c r="L20" s="70">
        <v>17358</v>
      </c>
      <c r="M20" s="70">
        <v>8723</v>
      </c>
      <c r="N20" s="70">
        <v>0</v>
      </c>
      <c r="O20" s="70">
        <f t="shared" si="12"/>
        <v>162492</v>
      </c>
      <c r="Q20" s="70">
        <v>99966</v>
      </c>
      <c r="R20" s="70">
        <v>43947</v>
      </c>
      <c r="S20" s="70">
        <v>18750</v>
      </c>
      <c r="T20" s="70">
        <v>10067</v>
      </c>
      <c r="U20" s="70">
        <v>-1</v>
      </c>
      <c r="V20" s="70">
        <f t="shared" si="13"/>
        <v>172729</v>
      </c>
      <c r="X20" s="70">
        <v>26610</v>
      </c>
      <c r="Y20" s="70">
        <v>11637</v>
      </c>
      <c r="Z20" s="70">
        <v>4790</v>
      </c>
      <c r="AA20" s="70">
        <v>5599</v>
      </c>
      <c r="AB20" s="70">
        <v>-2</v>
      </c>
      <c r="AC20" s="70">
        <f t="shared" si="14"/>
        <v>48634</v>
      </c>
    </row>
    <row r="21" spans="2:29" ht="17.25" thickTop="1" thickBot="1" x14ac:dyDescent="0.3">
      <c r="B21" s="75" t="s">
        <v>37</v>
      </c>
      <c r="C21" s="70">
        <v>217777</v>
      </c>
      <c r="D21" s="70">
        <v>82162</v>
      </c>
      <c r="E21" s="70">
        <v>30564</v>
      </c>
      <c r="F21" s="70">
        <v>11074</v>
      </c>
      <c r="G21" s="70">
        <v>-3</v>
      </c>
      <c r="H21" s="70">
        <f t="shared" si="11"/>
        <v>341574</v>
      </c>
      <c r="J21" s="70">
        <v>94956</v>
      </c>
      <c r="K21" s="70">
        <v>35225</v>
      </c>
      <c r="L21" s="70">
        <v>14014</v>
      </c>
      <c r="M21" s="70">
        <v>4298</v>
      </c>
      <c r="N21" s="70">
        <v>0</v>
      </c>
      <c r="O21" s="70">
        <f t="shared" si="12"/>
        <v>148493</v>
      </c>
      <c r="Q21" s="70">
        <v>98070</v>
      </c>
      <c r="R21" s="70">
        <v>39351</v>
      </c>
      <c r="S21" s="70">
        <v>15169</v>
      </c>
      <c r="T21" s="70">
        <v>5179</v>
      </c>
      <c r="U21" s="70">
        <v>-1</v>
      </c>
      <c r="V21" s="70">
        <f t="shared" si="13"/>
        <v>157768</v>
      </c>
      <c r="X21" s="70">
        <v>24751</v>
      </c>
      <c r="Y21" s="70">
        <v>7586</v>
      </c>
      <c r="Z21" s="70">
        <v>1381</v>
      </c>
      <c r="AA21" s="70">
        <v>1597</v>
      </c>
      <c r="AB21" s="70">
        <v>-2</v>
      </c>
      <c r="AC21" s="70">
        <f t="shared" si="14"/>
        <v>35313</v>
      </c>
    </row>
    <row r="22" spans="2:29" ht="17.25" thickTop="1" thickBot="1" x14ac:dyDescent="0.3">
      <c r="B22" s="78" t="s">
        <v>13</v>
      </c>
      <c r="C22" s="74">
        <v>-94249</v>
      </c>
      <c r="D22" s="74">
        <v>-19223</v>
      </c>
      <c r="E22" s="74">
        <v>-9337</v>
      </c>
      <c r="F22" s="74">
        <v>-2110</v>
      </c>
      <c r="G22" s="26">
        <v>0</v>
      </c>
      <c r="H22" s="74">
        <f t="shared" si="11"/>
        <v>-124919</v>
      </c>
      <c r="J22" s="74">
        <v>-31644</v>
      </c>
      <c r="K22" s="74">
        <v>-6563</v>
      </c>
      <c r="L22" s="74">
        <v>-3026</v>
      </c>
      <c r="M22" s="74">
        <v>-1370</v>
      </c>
      <c r="N22" s="74">
        <v>0</v>
      </c>
      <c r="O22" s="74">
        <f t="shared" si="12"/>
        <v>-42603</v>
      </c>
      <c r="Q22" s="74">
        <v>-30770</v>
      </c>
      <c r="R22" s="74">
        <v>-6086</v>
      </c>
      <c r="S22" s="74">
        <v>-3163</v>
      </c>
      <c r="T22" s="74">
        <v>-384</v>
      </c>
      <c r="U22" s="74">
        <v>0</v>
      </c>
      <c r="V22" s="74">
        <f t="shared" si="13"/>
        <v>-40403</v>
      </c>
      <c r="X22" s="74">
        <v>-31835</v>
      </c>
      <c r="Y22" s="74">
        <v>-6574</v>
      </c>
      <c r="Z22" s="74">
        <v>-3148</v>
      </c>
      <c r="AA22" s="74">
        <v>-356</v>
      </c>
      <c r="AB22" s="74">
        <v>0</v>
      </c>
      <c r="AC22" s="74">
        <f t="shared" si="14"/>
        <v>-41913</v>
      </c>
    </row>
    <row r="23" spans="2:29" ht="17.25" thickTop="1" thickBot="1" x14ac:dyDescent="0.3">
      <c r="B23" s="75" t="s">
        <v>96</v>
      </c>
      <c r="C23" s="70">
        <f>SUM(C21:C22)</f>
        <v>123528</v>
      </c>
      <c r="D23" s="70">
        <f>SUM(D21:D22)</f>
        <v>62939</v>
      </c>
      <c r="E23" s="70">
        <f>SUM(E21:E22)</f>
        <v>21227</v>
      </c>
      <c r="F23" s="70">
        <f>SUM(F21:F22)</f>
        <v>8964</v>
      </c>
      <c r="G23" s="70">
        <f>SUM(G21:G22)</f>
        <v>-3</v>
      </c>
      <c r="H23" s="70">
        <f t="shared" ref="H23" si="15">SUM(H21:H22)</f>
        <v>216655</v>
      </c>
      <c r="J23" s="70">
        <f>SUM(J21:J22)</f>
        <v>63312</v>
      </c>
      <c r="K23" s="70">
        <f>SUM(K21:K22)</f>
        <v>28662</v>
      </c>
      <c r="L23" s="70">
        <f>SUM(L21:L22)</f>
        <v>10988</v>
      </c>
      <c r="M23" s="70">
        <f>SUM(M21:M22)</f>
        <v>2928</v>
      </c>
      <c r="N23" s="70">
        <f>SUM(N21:N22)</f>
        <v>0</v>
      </c>
      <c r="O23" s="70">
        <f t="shared" ref="O23" si="16">SUM(O21:O22)</f>
        <v>105890</v>
      </c>
      <c r="Q23" s="70">
        <f>SUM(Q21:Q22)</f>
        <v>67300</v>
      </c>
      <c r="R23" s="70">
        <f>SUM(R21:R22)</f>
        <v>33265</v>
      </c>
      <c r="S23" s="70">
        <f>SUM(S21:S22)</f>
        <v>12006</v>
      </c>
      <c r="T23" s="70">
        <f>SUM(T21:T22)</f>
        <v>4795</v>
      </c>
      <c r="U23" s="70">
        <f>SUM(U21:U22)</f>
        <v>-1</v>
      </c>
      <c r="V23" s="70">
        <f t="shared" ref="V23" si="17">SUM(V21:V22)</f>
        <v>117365</v>
      </c>
      <c r="X23" s="70">
        <f>SUM(X21:X22)</f>
        <v>-7084</v>
      </c>
      <c r="Y23" s="70">
        <f>SUM(Y21:Y22)</f>
        <v>1012</v>
      </c>
      <c r="Z23" s="70">
        <f>SUM(Z21:Z22)</f>
        <v>-1767</v>
      </c>
      <c r="AA23" s="70">
        <f>SUM(AA21:AA22)</f>
        <v>1241</v>
      </c>
      <c r="AB23" s="70">
        <f>SUM(AB21:AB22)</f>
        <v>-2</v>
      </c>
      <c r="AC23" s="70">
        <f t="shared" ref="AC23" si="18">SUM(AC21:AC22)</f>
        <v>-6600</v>
      </c>
    </row>
    <row r="24" spans="2:29" ht="17.25" thickTop="1" thickBot="1" x14ac:dyDescent="0.3">
      <c r="B24" s="78" t="s">
        <v>99</v>
      </c>
      <c r="C24" s="140">
        <v>98709</v>
      </c>
      <c r="D24" s="140">
        <v>34604</v>
      </c>
      <c r="E24" s="140">
        <v>3683</v>
      </c>
      <c r="F24" s="140">
        <v>87108</v>
      </c>
      <c r="G24" s="140">
        <v>0</v>
      </c>
      <c r="H24" s="74">
        <f t="shared" ref="H24" si="19">SUM(C24:G24)</f>
        <v>224104</v>
      </c>
      <c r="J24" s="74">
        <v>35481</v>
      </c>
      <c r="K24" s="74">
        <v>11173</v>
      </c>
      <c r="L24" s="74">
        <v>1185</v>
      </c>
      <c r="M24" s="74">
        <v>82721</v>
      </c>
      <c r="N24" s="74">
        <v>0</v>
      </c>
      <c r="O24" s="74">
        <f t="shared" ref="O24" si="20">SUM(J24:N24)</f>
        <v>130560</v>
      </c>
      <c r="Q24" s="74">
        <v>32860</v>
      </c>
      <c r="R24" s="74">
        <v>13305</v>
      </c>
      <c r="S24" s="74">
        <v>2367</v>
      </c>
      <c r="T24" s="74">
        <v>4266</v>
      </c>
      <c r="U24" s="74">
        <v>0</v>
      </c>
      <c r="V24" s="74">
        <f t="shared" ref="V24" si="21">SUM(Q24:U24)</f>
        <v>52798</v>
      </c>
      <c r="X24" s="140">
        <v>30368</v>
      </c>
      <c r="Y24" s="140">
        <v>10126</v>
      </c>
      <c r="Z24" s="140">
        <v>131</v>
      </c>
      <c r="AA24" s="140">
        <v>121</v>
      </c>
      <c r="AB24" s="140">
        <v>0</v>
      </c>
      <c r="AC24" s="74">
        <f t="shared" ref="AC24" si="22">SUM(X24:AB24)</f>
        <v>40746</v>
      </c>
    </row>
    <row r="25" spans="2:29" ht="16.5" thickTop="1" x14ac:dyDescent="0.25"/>
    <row r="26" spans="2:29" x14ac:dyDescent="0.25">
      <c r="C26" s="199"/>
      <c r="D26" s="199"/>
      <c r="E26" s="199"/>
      <c r="F26" s="199"/>
      <c r="G26" s="199"/>
      <c r="H26" s="199"/>
    </row>
    <row r="27" spans="2:29" x14ac:dyDescent="0.25">
      <c r="C27" s="199"/>
      <c r="D27" s="199"/>
      <c r="E27" s="199"/>
      <c r="F27" s="199"/>
      <c r="G27" s="199"/>
      <c r="H27" s="199"/>
    </row>
    <row r="28" spans="2:29" x14ac:dyDescent="0.25">
      <c r="C28" s="199"/>
      <c r="D28" s="199"/>
      <c r="E28" s="199"/>
      <c r="F28" s="199"/>
      <c r="G28" s="199"/>
      <c r="H28" s="199"/>
    </row>
    <row r="29" spans="2:29" x14ac:dyDescent="0.25">
      <c r="C29" s="199"/>
      <c r="D29" s="199"/>
      <c r="E29" s="199"/>
      <c r="F29" s="199"/>
      <c r="G29" s="199"/>
      <c r="H29" s="199"/>
    </row>
    <row r="30" spans="2:29" x14ac:dyDescent="0.25">
      <c r="C30" s="199"/>
      <c r="D30" s="199"/>
      <c r="E30" s="199"/>
      <c r="F30" s="199"/>
      <c r="G30" s="199"/>
      <c r="H30" s="199"/>
    </row>
    <row r="31" spans="2:29" x14ac:dyDescent="0.25">
      <c r="C31" s="199"/>
      <c r="D31" s="199"/>
      <c r="E31" s="199"/>
      <c r="F31" s="199"/>
      <c r="G31" s="199"/>
      <c r="H31" s="199"/>
    </row>
    <row r="32" spans="2:29" x14ac:dyDescent="0.25">
      <c r="C32" s="199"/>
      <c r="D32" s="199"/>
      <c r="E32" s="199"/>
      <c r="F32" s="199"/>
      <c r="G32" s="199"/>
      <c r="H32" s="199"/>
    </row>
    <row r="33" spans="3:8" x14ac:dyDescent="0.25">
      <c r="C33" s="199"/>
      <c r="D33" s="199"/>
      <c r="E33" s="199"/>
      <c r="F33" s="199"/>
      <c r="G33" s="199"/>
      <c r="H33" s="199"/>
    </row>
    <row r="37" spans="3:8" x14ac:dyDescent="0.25">
      <c r="C37" s="199"/>
      <c r="D37" s="199"/>
      <c r="E37" s="199"/>
      <c r="F37" s="199"/>
      <c r="G37" s="199"/>
      <c r="H37" s="199"/>
    </row>
    <row r="38" spans="3:8" x14ac:dyDescent="0.25">
      <c r="C38" s="199"/>
      <c r="D38" s="199"/>
      <c r="E38" s="199"/>
      <c r="F38" s="199"/>
      <c r="G38" s="199"/>
      <c r="H38" s="199"/>
    </row>
    <row r="39" spans="3:8" x14ac:dyDescent="0.25">
      <c r="C39" s="199"/>
      <c r="D39" s="199"/>
      <c r="E39" s="199"/>
      <c r="F39" s="199"/>
      <c r="G39" s="199"/>
      <c r="H39" s="199"/>
    </row>
    <row r="40" spans="3:8" x14ac:dyDescent="0.25">
      <c r="C40" s="199"/>
      <c r="D40" s="199"/>
      <c r="E40" s="199"/>
      <c r="F40" s="199"/>
      <c r="G40" s="199"/>
      <c r="H40" s="199"/>
    </row>
    <row r="41" spans="3:8" x14ac:dyDescent="0.25">
      <c r="C41" s="199"/>
      <c r="D41" s="199"/>
      <c r="E41" s="199"/>
      <c r="F41" s="199"/>
      <c r="G41" s="199"/>
      <c r="H41" s="199"/>
    </row>
    <row r="42" spans="3:8" x14ac:dyDescent="0.25">
      <c r="C42" s="199"/>
      <c r="D42" s="199"/>
      <c r="E42" s="199"/>
      <c r="F42" s="199"/>
      <c r="G42" s="199"/>
      <c r="H42" s="199"/>
    </row>
    <row r="43" spans="3:8" x14ac:dyDescent="0.25">
      <c r="C43" s="199"/>
      <c r="D43" s="199"/>
      <c r="E43" s="199"/>
      <c r="F43" s="199"/>
      <c r="G43" s="199"/>
      <c r="H43" s="199"/>
    </row>
    <row r="44" spans="3:8" x14ac:dyDescent="0.25">
      <c r="C44" s="199"/>
      <c r="D44" s="199"/>
      <c r="E44" s="199"/>
      <c r="F44" s="199"/>
      <c r="G44" s="199"/>
      <c r="H44" s="199"/>
    </row>
  </sheetData>
  <mergeCells count="26">
    <mergeCell ref="J4:M4"/>
    <mergeCell ref="N4:N5"/>
    <mergeCell ref="O4:O5"/>
    <mergeCell ref="J15:M15"/>
    <mergeCell ref="N15:N16"/>
    <mergeCell ref="O15:O16"/>
    <mergeCell ref="X4:AA4"/>
    <mergeCell ref="AB4:AB5"/>
    <mergeCell ref="AC4:AC5"/>
    <mergeCell ref="X15:AA15"/>
    <mergeCell ref="AB15:AB16"/>
    <mergeCell ref="AC15:AC16"/>
    <mergeCell ref="Q4:T4"/>
    <mergeCell ref="U4:U5"/>
    <mergeCell ref="V4:V5"/>
    <mergeCell ref="Q15:T15"/>
    <mergeCell ref="U15:U16"/>
    <mergeCell ref="V15:V16"/>
    <mergeCell ref="B4:B5"/>
    <mergeCell ref="B15:B16"/>
    <mergeCell ref="C4:F4"/>
    <mergeCell ref="G4:G5"/>
    <mergeCell ref="H4:H5"/>
    <mergeCell ref="C15:F15"/>
    <mergeCell ref="G15:G16"/>
    <mergeCell ref="H15:H16"/>
  </mergeCells>
  <hyperlinks>
    <hyperlink ref="A1" location="'Spis treści'!A1" display="Spis treści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V57"/>
  <sheetViews>
    <sheetView zoomScaleNormal="100" workbookViewId="0">
      <selection activeCell="B3" sqref="B3"/>
    </sheetView>
  </sheetViews>
  <sheetFormatPr defaultColWidth="10.875" defaultRowHeight="12" outlineLevelCol="1" x14ac:dyDescent="0.2"/>
  <cols>
    <col min="1" max="1" width="5" style="28" customWidth="1"/>
    <col min="2" max="2" width="55.25" style="23" customWidth="1"/>
    <col min="3" max="5" width="15.125" style="28" customWidth="1"/>
    <col min="6" max="6" width="17.125" style="28" customWidth="1"/>
    <col min="7" max="7" width="1.375" style="28" customWidth="1"/>
    <col min="8" max="10" width="15.125" style="28" hidden="1" customWidth="1" outlineLevel="1"/>
    <col min="11" max="11" width="17.125" style="28" hidden="1" customWidth="1" outlineLevel="1"/>
    <col min="12" max="12" width="1.375" style="28" hidden="1" customWidth="1" outlineLevel="1"/>
    <col min="13" max="15" width="15.125" style="28" hidden="1" customWidth="1" outlineLevel="1"/>
    <col min="16" max="16" width="17.125" style="28" hidden="1" customWidth="1" outlineLevel="1"/>
    <col min="17" max="17" width="1.875" style="28" hidden="1" customWidth="1" outlineLevel="1"/>
    <col min="18" max="20" width="15.125" style="28" hidden="1" customWidth="1" outlineLevel="1"/>
    <col min="21" max="21" width="17.125" style="28" hidden="1" customWidth="1" outlineLevel="1"/>
    <col min="22" max="22" width="10.875" style="28" collapsed="1"/>
    <col min="23" max="16384" width="10.875" style="28"/>
  </cols>
  <sheetData>
    <row r="1" spans="1:21" ht="15" x14ac:dyDescent="0.2">
      <c r="A1" s="102" t="s">
        <v>8</v>
      </c>
    </row>
    <row r="2" spans="1:21" x14ac:dyDescent="0.2">
      <c r="A2" s="103"/>
    </row>
    <row r="3" spans="1:21" ht="18.75" thickBot="1" x14ac:dyDescent="0.25">
      <c r="A3" s="103"/>
      <c r="B3" s="15" t="s">
        <v>197</v>
      </c>
    </row>
    <row r="4" spans="1:21" ht="16.5" customHeight="1" thickTop="1" thickBot="1" x14ac:dyDescent="0.25">
      <c r="B4" s="206"/>
      <c r="C4" s="209" t="s">
        <v>89</v>
      </c>
      <c r="D4" s="220"/>
      <c r="E4" s="221" t="s">
        <v>92</v>
      </c>
      <c r="F4" s="223" t="s">
        <v>267</v>
      </c>
      <c r="H4" s="209" t="s">
        <v>89</v>
      </c>
      <c r="I4" s="220"/>
      <c r="J4" s="221" t="s">
        <v>92</v>
      </c>
      <c r="K4" s="223" t="s">
        <v>265</v>
      </c>
      <c r="M4" s="209" t="s">
        <v>89</v>
      </c>
      <c r="N4" s="220"/>
      <c r="O4" s="221" t="s">
        <v>92</v>
      </c>
      <c r="P4" s="223" t="s">
        <v>240</v>
      </c>
      <c r="R4" s="209" t="s">
        <v>89</v>
      </c>
      <c r="S4" s="220"/>
      <c r="T4" s="221" t="s">
        <v>92</v>
      </c>
      <c r="U4" s="223" t="s">
        <v>232</v>
      </c>
    </row>
    <row r="5" spans="1:21" ht="36" customHeight="1" thickTop="1" thickBot="1" x14ac:dyDescent="0.25">
      <c r="B5" s="207"/>
      <c r="C5" s="142" t="s">
        <v>90</v>
      </c>
      <c r="D5" s="142" t="s">
        <v>91</v>
      </c>
      <c r="E5" s="222"/>
      <c r="F5" s="224"/>
      <c r="H5" s="186" t="s">
        <v>90</v>
      </c>
      <c r="I5" s="186" t="s">
        <v>91</v>
      </c>
      <c r="J5" s="222"/>
      <c r="K5" s="224"/>
      <c r="M5" s="176" t="s">
        <v>90</v>
      </c>
      <c r="N5" s="176" t="s">
        <v>91</v>
      </c>
      <c r="O5" s="222"/>
      <c r="P5" s="224"/>
      <c r="R5" s="176" t="s">
        <v>90</v>
      </c>
      <c r="S5" s="176" t="s">
        <v>91</v>
      </c>
      <c r="T5" s="222"/>
      <c r="U5" s="224"/>
    </row>
    <row r="6" spans="1:21" ht="16.5" customHeight="1" thickTop="1" x14ac:dyDescent="0.2">
      <c r="B6" s="83" t="s">
        <v>191</v>
      </c>
      <c r="C6" s="84">
        <f>SUM(C7:C10)</f>
        <v>817035</v>
      </c>
      <c r="D6" s="84">
        <f>SUM(D7:D10)</f>
        <v>264860</v>
      </c>
      <c r="E6" s="84">
        <f>SUM(E7:E10)</f>
        <v>8442</v>
      </c>
      <c r="F6" s="84">
        <f>SUM(F7:F10)</f>
        <v>1090337</v>
      </c>
      <c r="G6" s="104"/>
      <c r="H6" s="84">
        <f>SUM(H7:H10)</f>
        <v>302074</v>
      </c>
      <c r="I6" s="84">
        <f>SUM(I7:I10)</f>
        <v>101408</v>
      </c>
      <c r="J6" s="84">
        <f>SUM(J7:J10)</f>
        <v>2803</v>
      </c>
      <c r="K6" s="84">
        <f>SUM(K7:K10)</f>
        <v>406285</v>
      </c>
      <c r="L6" s="104"/>
      <c r="M6" s="84">
        <f>SUM(M7:M10)</f>
        <v>310586</v>
      </c>
      <c r="N6" s="84">
        <f>SUM(N7:N10)</f>
        <v>101512</v>
      </c>
      <c r="O6" s="84">
        <f>SUM(O7:O10)</f>
        <v>2481</v>
      </c>
      <c r="P6" s="84">
        <f>SUM(P7:P10)</f>
        <v>414579</v>
      </c>
      <c r="R6" s="84">
        <f>SUM(R7:R10)</f>
        <v>204375</v>
      </c>
      <c r="S6" s="84">
        <f>SUM(S7:S10)</f>
        <v>61940</v>
      </c>
      <c r="T6" s="84">
        <f>SUM(T7:T10)</f>
        <v>3158</v>
      </c>
      <c r="U6" s="84">
        <f>SUM(U7:U10)</f>
        <v>269473</v>
      </c>
    </row>
    <row r="7" spans="1:21" ht="16.5" customHeight="1" thickBot="1" x14ac:dyDescent="0.25">
      <c r="B7" s="78" t="s">
        <v>192</v>
      </c>
      <c r="C7" s="74">
        <v>563614</v>
      </c>
      <c r="D7" s="74">
        <v>209826</v>
      </c>
      <c r="E7" s="74">
        <v>0</v>
      </c>
      <c r="F7" s="74">
        <f t="shared" ref="F7:F10" si="0">SUM(C7:E7)</f>
        <v>773440</v>
      </c>
      <c r="G7" s="104"/>
      <c r="H7" s="74">
        <v>215003</v>
      </c>
      <c r="I7" s="74">
        <v>81152</v>
      </c>
      <c r="J7" s="74">
        <v>0</v>
      </c>
      <c r="K7" s="74">
        <f t="shared" ref="K7:K10" si="1">SUM(H7:J7)</f>
        <v>296155</v>
      </c>
      <c r="L7" s="104"/>
      <c r="M7" s="74">
        <v>217303</v>
      </c>
      <c r="N7" s="74">
        <v>81682</v>
      </c>
      <c r="O7" s="74">
        <v>0</v>
      </c>
      <c r="P7" s="74">
        <f t="shared" ref="P7:P10" si="2">SUM(M7:O7)</f>
        <v>298985</v>
      </c>
      <c r="R7" s="74">
        <v>131308</v>
      </c>
      <c r="S7" s="74">
        <v>46992</v>
      </c>
      <c r="T7" s="74">
        <v>0</v>
      </c>
      <c r="U7" s="74">
        <f t="shared" ref="U7:U10" si="3">SUM(R7:T7)</f>
        <v>178300</v>
      </c>
    </row>
    <row r="8" spans="1:21" ht="16.5" customHeight="1" thickTop="1" thickBot="1" x14ac:dyDescent="0.25">
      <c r="B8" s="87" t="s">
        <v>193</v>
      </c>
      <c r="C8" s="74">
        <v>219345</v>
      </c>
      <c r="D8" s="74">
        <v>46731</v>
      </c>
      <c r="E8" s="74">
        <v>0</v>
      </c>
      <c r="F8" s="74">
        <f t="shared" si="0"/>
        <v>266076</v>
      </c>
      <c r="G8" s="104"/>
      <c r="H8" s="74">
        <v>74594</v>
      </c>
      <c r="I8" s="74">
        <v>17083</v>
      </c>
      <c r="J8" s="74">
        <v>0</v>
      </c>
      <c r="K8" s="74">
        <f t="shared" si="1"/>
        <v>91677</v>
      </c>
      <c r="L8" s="104"/>
      <c r="M8" s="74">
        <v>81988</v>
      </c>
      <c r="N8" s="74">
        <v>16951</v>
      </c>
      <c r="O8" s="74">
        <v>0</v>
      </c>
      <c r="P8" s="74">
        <f t="shared" si="2"/>
        <v>98939</v>
      </c>
      <c r="R8" s="74">
        <v>62763</v>
      </c>
      <c r="S8" s="74">
        <v>12697</v>
      </c>
      <c r="T8" s="74">
        <v>0</v>
      </c>
      <c r="U8" s="74">
        <f t="shared" si="3"/>
        <v>75460</v>
      </c>
    </row>
    <row r="9" spans="1:21" ht="16.5" hidden="1" customHeight="1" thickTop="1" thickBot="1" x14ac:dyDescent="0.25">
      <c r="B9" s="87" t="s">
        <v>194</v>
      </c>
      <c r="C9" s="74">
        <v>0</v>
      </c>
      <c r="D9" s="74">
        <v>0</v>
      </c>
      <c r="E9" s="74">
        <v>0</v>
      </c>
      <c r="F9" s="74">
        <f t="shared" si="0"/>
        <v>0</v>
      </c>
      <c r="G9" s="104"/>
      <c r="H9" s="74">
        <v>0</v>
      </c>
      <c r="I9" s="74">
        <v>0</v>
      </c>
      <c r="J9" s="74">
        <v>0</v>
      </c>
      <c r="K9" s="74">
        <f t="shared" si="1"/>
        <v>0</v>
      </c>
      <c r="L9" s="104"/>
      <c r="M9" s="74">
        <v>0</v>
      </c>
      <c r="N9" s="74">
        <v>0</v>
      </c>
      <c r="O9" s="74">
        <v>0</v>
      </c>
      <c r="P9" s="74">
        <f t="shared" si="2"/>
        <v>0</v>
      </c>
      <c r="R9" s="74">
        <v>0</v>
      </c>
      <c r="S9" s="74">
        <v>0</v>
      </c>
      <c r="T9" s="74">
        <v>0</v>
      </c>
      <c r="U9" s="74">
        <f t="shared" si="3"/>
        <v>0</v>
      </c>
    </row>
    <row r="10" spans="1:21" ht="16.5" customHeight="1" thickTop="1" thickBot="1" x14ac:dyDescent="0.25">
      <c r="B10" s="87" t="s">
        <v>195</v>
      </c>
      <c r="C10" s="74">
        <v>34076</v>
      </c>
      <c r="D10" s="74">
        <v>8303</v>
      </c>
      <c r="E10" s="74">
        <v>8442</v>
      </c>
      <c r="F10" s="74">
        <f t="shared" si="0"/>
        <v>50821</v>
      </c>
      <c r="G10" s="104"/>
      <c r="H10" s="74">
        <v>12477</v>
      </c>
      <c r="I10" s="74">
        <v>3173</v>
      </c>
      <c r="J10" s="197">
        <v>2803</v>
      </c>
      <c r="K10" s="74">
        <f t="shared" si="1"/>
        <v>18453</v>
      </c>
      <c r="L10" s="104"/>
      <c r="M10" s="74">
        <v>11295</v>
      </c>
      <c r="N10" s="74">
        <v>2879</v>
      </c>
      <c r="O10" s="74">
        <v>2481</v>
      </c>
      <c r="P10" s="74">
        <f t="shared" si="2"/>
        <v>16655</v>
      </c>
      <c r="R10" s="74">
        <v>10304</v>
      </c>
      <c r="S10" s="74">
        <v>2251</v>
      </c>
      <c r="T10" s="74">
        <v>3158</v>
      </c>
      <c r="U10" s="74">
        <f t="shared" si="3"/>
        <v>15713</v>
      </c>
    </row>
    <row r="11" spans="1:21" ht="16.5" customHeight="1" thickTop="1" x14ac:dyDescent="0.2">
      <c r="B11" s="83" t="s">
        <v>196</v>
      </c>
      <c r="C11" s="84">
        <f>SUM(C12:C15)</f>
        <v>817035</v>
      </c>
      <c r="D11" s="84">
        <f>SUM(D12:D15)</f>
        <v>264860</v>
      </c>
      <c r="E11" s="84">
        <f>SUM(E12:E15)</f>
        <v>8442</v>
      </c>
      <c r="F11" s="84">
        <f>SUM(F12:F15)</f>
        <v>1090337</v>
      </c>
      <c r="G11" s="104"/>
      <c r="H11" s="84">
        <f>SUM(H12:H15)</f>
        <v>302074</v>
      </c>
      <c r="I11" s="84">
        <f>SUM(I12:I15)</f>
        <v>101408</v>
      </c>
      <c r="J11" s="84">
        <f>SUM(J12:J15)</f>
        <v>2803</v>
      </c>
      <c r="K11" s="84">
        <f>SUM(K12:K15)</f>
        <v>406285</v>
      </c>
      <c r="L11" s="104"/>
      <c r="M11" s="84">
        <f>SUM(M12:M15)</f>
        <v>310586</v>
      </c>
      <c r="N11" s="84">
        <f>SUM(N12:N15)</f>
        <v>101512</v>
      </c>
      <c r="O11" s="84">
        <f>SUM(O12:O15)</f>
        <v>2481</v>
      </c>
      <c r="P11" s="84">
        <f>SUM(P12:P15)</f>
        <v>414579</v>
      </c>
      <c r="R11" s="84">
        <f>SUM(R12:R15)</f>
        <v>204375</v>
      </c>
      <c r="S11" s="84">
        <f>SUM(S12:S15)</f>
        <v>61940</v>
      </c>
      <c r="T11" s="84">
        <f>SUM(T12:T15)</f>
        <v>3158</v>
      </c>
      <c r="U11" s="84">
        <f>SUM(U12:U15)</f>
        <v>269473</v>
      </c>
    </row>
    <row r="12" spans="1:21" ht="16.5" customHeight="1" thickBot="1" x14ac:dyDescent="0.25">
      <c r="B12" s="87" t="s">
        <v>100</v>
      </c>
      <c r="C12" s="74">
        <v>544119</v>
      </c>
      <c r="D12" s="74">
        <v>152266</v>
      </c>
      <c r="E12" s="74">
        <v>6348</v>
      </c>
      <c r="F12" s="74">
        <f t="shared" ref="F12:F15" si="4">SUM(C12:E12)</f>
        <v>702733</v>
      </c>
      <c r="G12" s="104"/>
      <c r="H12" s="74">
        <v>198621</v>
      </c>
      <c r="I12" s="74">
        <v>55807</v>
      </c>
      <c r="J12" s="74">
        <v>2009</v>
      </c>
      <c r="K12" s="74">
        <f t="shared" ref="K12:K15" si="5">SUM(H12:J12)</f>
        <v>256437</v>
      </c>
      <c r="L12" s="104"/>
      <c r="M12" s="74">
        <v>203710</v>
      </c>
      <c r="N12" s="74">
        <v>57432</v>
      </c>
      <c r="O12" s="74">
        <v>1819</v>
      </c>
      <c r="P12" s="74">
        <f t="shared" ref="P12:P15" si="6">SUM(M12:O12)</f>
        <v>262961</v>
      </c>
      <c r="R12" s="74">
        <v>141788</v>
      </c>
      <c r="S12" s="74">
        <v>39027</v>
      </c>
      <c r="T12" s="74">
        <v>2520</v>
      </c>
      <c r="U12" s="74">
        <f t="shared" ref="U12:U15" si="7">SUM(R12:T12)</f>
        <v>183335</v>
      </c>
    </row>
    <row r="13" spans="1:21" ht="16.5" customHeight="1" thickTop="1" thickBot="1" x14ac:dyDescent="0.25">
      <c r="B13" s="87" t="s">
        <v>101</v>
      </c>
      <c r="C13" s="74">
        <v>165261</v>
      </c>
      <c r="D13" s="74">
        <v>52386</v>
      </c>
      <c r="E13" s="74">
        <v>1658</v>
      </c>
      <c r="F13" s="74">
        <f t="shared" si="4"/>
        <v>219305</v>
      </c>
      <c r="G13" s="104"/>
      <c r="H13" s="74">
        <v>65327</v>
      </c>
      <c r="I13" s="74">
        <v>22289</v>
      </c>
      <c r="J13" s="74">
        <v>560</v>
      </c>
      <c r="K13" s="74">
        <f t="shared" si="5"/>
        <v>88176</v>
      </c>
      <c r="L13" s="104"/>
      <c r="M13" s="74">
        <v>65030</v>
      </c>
      <c r="N13" s="74">
        <v>19052</v>
      </c>
      <c r="O13" s="74">
        <v>548</v>
      </c>
      <c r="P13" s="74">
        <f t="shared" si="6"/>
        <v>84630</v>
      </c>
      <c r="R13" s="74">
        <v>34904</v>
      </c>
      <c r="S13" s="74">
        <v>11045</v>
      </c>
      <c r="T13" s="74">
        <v>550</v>
      </c>
      <c r="U13" s="74">
        <f t="shared" si="7"/>
        <v>46499</v>
      </c>
    </row>
    <row r="14" spans="1:21" ht="16.5" customHeight="1" thickTop="1" thickBot="1" x14ac:dyDescent="0.25">
      <c r="B14" s="87" t="s">
        <v>102</v>
      </c>
      <c r="C14" s="74">
        <v>44981</v>
      </c>
      <c r="D14" s="74">
        <v>45073</v>
      </c>
      <c r="E14" s="74">
        <v>254</v>
      </c>
      <c r="F14" s="74">
        <f t="shared" si="4"/>
        <v>90308</v>
      </c>
      <c r="G14" s="104"/>
      <c r="H14" s="74">
        <v>16392</v>
      </c>
      <c r="I14" s="74">
        <v>17598</v>
      </c>
      <c r="J14" s="74">
        <v>86</v>
      </c>
      <c r="K14" s="74">
        <f t="shared" si="5"/>
        <v>34076</v>
      </c>
      <c r="L14" s="104"/>
      <c r="M14" s="74">
        <v>17109</v>
      </c>
      <c r="N14" s="74">
        <v>18910</v>
      </c>
      <c r="O14" s="74">
        <v>83</v>
      </c>
      <c r="P14" s="74">
        <f t="shared" si="6"/>
        <v>36102</v>
      </c>
      <c r="R14" s="74">
        <v>11480</v>
      </c>
      <c r="S14" s="74">
        <v>8565</v>
      </c>
      <c r="T14" s="74">
        <v>85</v>
      </c>
      <c r="U14" s="74">
        <f t="shared" si="7"/>
        <v>20130</v>
      </c>
    </row>
    <row r="15" spans="1:21" ht="16.5" customHeight="1" thickTop="1" thickBot="1" x14ac:dyDescent="0.25">
      <c r="B15" s="87" t="s">
        <v>103</v>
      </c>
      <c r="C15" s="74">
        <v>62674</v>
      </c>
      <c r="D15" s="74">
        <v>15135</v>
      </c>
      <c r="E15" s="74">
        <v>182</v>
      </c>
      <c r="F15" s="74">
        <f t="shared" si="4"/>
        <v>77991</v>
      </c>
      <c r="G15" s="104"/>
      <c r="H15" s="74">
        <v>21734</v>
      </c>
      <c r="I15" s="74">
        <v>5714</v>
      </c>
      <c r="J15" s="74">
        <v>148</v>
      </c>
      <c r="K15" s="74">
        <f t="shared" si="5"/>
        <v>27596</v>
      </c>
      <c r="L15" s="104"/>
      <c r="M15" s="74">
        <v>24737</v>
      </c>
      <c r="N15" s="74">
        <v>6118</v>
      </c>
      <c r="O15" s="74">
        <v>31</v>
      </c>
      <c r="P15" s="74">
        <f t="shared" si="6"/>
        <v>30886</v>
      </c>
      <c r="R15" s="74">
        <v>16203</v>
      </c>
      <c r="S15" s="74">
        <v>3303</v>
      </c>
      <c r="T15" s="74">
        <v>3</v>
      </c>
      <c r="U15" s="74">
        <f t="shared" si="7"/>
        <v>19509</v>
      </c>
    </row>
    <row r="16" spans="1:21" ht="16.5" customHeight="1" thickTop="1" x14ac:dyDescent="0.2">
      <c r="B16" s="87"/>
      <c r="C16" s="139"/>
      <c r="D16" s="139"/>
      <c r="E16" s="139"/>
      <c r="F16" s="139"/>
      <c r="G16" s="104"/>
      <c r="H16" s="139"/>
      <c r="I16" s="139"/>
      <c r="J16" s="139"/>
      <c r="K16" s="139"/>
      <c r="L16" s="104"/>
      <c r="M16" s="139"/>
      <c r="N16" s="139"/>
      <c r="O16" s="139"/>
      <c r="P16" s="139"/>
      <c r="R16" s="139"/>
      <c r="S16" s="139"/>
      <c r="T16" s="139"/>
      <c r="U16" s="139"/>
    </row>
    <row r="17" spans="2:21" x14ac:dyDescent="0.2">
      <c r="B17" s="87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</row>
    <row r="18" spans="2:21" ht="12.75" thickBot="1" x14ac:dyDescent="0.25">
      <c r="B18" s="87"/>
    </row>
    <row r="19" spans="2:21" ht="17.100000000000001" customHeight="1" thickTop="1" thickBot="1" x14ac:dyDescent="0.25">
      <c r="B19" s="206"/>
      <c r="C19" s="209" t="s">
        <v>89</v>
      </c>
      <c r="D19" s="220"/>
      <c r="E19" s="221" t="s">
        <v>92</v>
      </c>
      <c r="F19" s="223" t="s">
        <v>268</v>
      </c>
      <c r="H19" s="209" t="s">
        <v>89</v>
      </c>
      <c r="I19" s="220"/>
      <c r="J19" s="221" t="s">
        <v>92</v>
      </c>
      <c r="K19" s="223" t="s">
        <v>266</v>
      </c>
      <c r="M19" s="209" t="s">
        <v>89</v>
      </c>
      <c r="N19" s="220"/>
      <c r="O19" s="221" t="s">
        <v>92</v>
      </c>
      <c r="P19" s="223" t="s">
        <v>241</v>
      </c>
      <c r="R19" s="209" t="s">
        <v>89</v>
      </c>
      <c r="S19" s="220"/>
      <c r="T19" s="221" t="s">
        <v>92</v>
      </c>
      <c r="U19" s="223" t="s">
        <v>186</v>
      </c>
    </row>
    <row r="20" spans="2:21" ht="38.25" customHeight="1" thickTop="1" thickBot="1" x14ac:dyDescent="0.25">
      <c r="B20" s="207"/>
      <c r="C20" s="142" t="s">
        <v>90</v>
      </c>
      <c r="D20" s="142" t="s">
        <v>91</v>
      </c>
      <c r="E20" s="222"/>
      <c r="F20" s="224"/>
      <c r="H20" s="186" t="s">
        <v>90</v>
      </c>
      <c r="I20" s="186" t="s">
        <v>91</v>
      </c>
      <c r="J20" s="222"/>
      <c r="K20" s="224"/>
      <c r="M20" s="176" t="s">
        <v>90</v>
      </c>
      <c r="N20" s="176" t="s">
        <v>91</v>
      </c>
      <c r="O20" s="222"/>
      <c r="P20" s="224"/>
      <c r="R20" s="176" t="s">
        <v>90</v>
      </c>
      <c r="S20" s="176" t="s">
        <v>91</v>
      </c>
      <c r="T20" s="222"/>
      <c r="U20" s="224"/>
    </row>
    <row r="21" spans="2:21" ht="16.5" customHeight="1" thickTop="1" x14ac:dyDescent="0.2">
      <c r="B21" s="83" t="s">
        <v>191</v>
      </c>
      <c r="C21" s="84">
        <f>SUM(C22:C25)</f>
        <v>805205</v>
      </c>
      <c r="D21" s="84">
        <f>SUM(D22:D25)</f>
        <v>239749</v>
      </c>
      <c r="E21" s="84">
        <f>SUM(E22:E25)</f>
        <v>9819</v>
      </c>
      <c r="F21" s="84">
        <f>SUM(F22:F25)</f>
        <v>1054773</v>
      </c>
      <c r="G21" s="104"/>
      <c r="H21" s="84">
        <f>SUM(H22:H25)</f>
        <v>285267</v>
      </c>
      <c r="I21" s="84">
        <f>SUM(I22:I25)</f>
        <v>90191</v>
      </c>
      <c r="J21" s="84">
        <f>SUM(J22:J25)</f>
        <v>3445</v>
      </c>
      <c r="K21" s="84">
        <f>SUM(K22:K25)</f>
        <v>378903</v>
      </c>
      <c r="L21" s="104"/>
      <c r="M21" s="84">
        <f>SUM(M22:M25)</f>
        <v>314555</v>
      </c>
      <c r="N21" s="84">
        <f>SUM(N22:N25)</f>
        <v>92069</v>
      </c>
      <c r="O21" s="84">
        <f>SUM(O22:O25)</f>
        <v>3580</v>
      </c>
      <c r="P21" s="84">
        <f>SUM(P22:P25)</f>
        <v>410204</v>
      </c>
      <c r="R21" s="84">
        <f>SUM(R22:R25)</f>
        <v>205383</v>
      </c>
      <c r="S21" s="84">
        <f>SUM(S22:S25)</f>
        <v>57489</v>
      </c>
      <c r="T21" s="84">
        <f>SUM(T22:T25)</f>
        <v>2794</v>
      </c>
      <c r="U21" s="84">
        <f>SUM(U22:U25)</f>
        <v>265666</v>
      </c>
    </row>
    <row r="22" spans="2:21" ht="16.5" customHeight="1" thickBot="1" x14ac:dyDescent="0.25">
      <c r="B22" s="78" t="s">
        <v>192</v>
      </c>
      <c r="C22" s="74">
        <v>558681</v>
      </c>
      <c r="D22" s="74">
        <v>190608</v>
      </c>
      <c r="E22" s="74">
        <v>0</v>
      </c>
      <c r="F22" s="74">
        <f t="shared" ref="F22:F25" si="8">SUM(C22:E22)</f>
        <v>749289</v>
      </c>
      <c r="G22" s="104"/>
      <c r="H22" s="74">
        <v>204205</v>
      </c>
      <c r="I22" s="74">
        <v>72584</v>
      </c>
      <c r="J22" s="74">
        <v>0</v>
      </c>
      <c r="K22" s="74">
        <f t="shared" ref="K22:K25" si="9">SUM(H22:J22)</f>
        <v>276789</v>
      </c>
      <c r="L22" s="104"/>
      <c r="M22" s="74">
        <v>220366</v>
      </c>
      <c r="N22" s="74">
        <v>74231</v>
      </c>
      <c r="O22" s="74">
        <v>0</v>
      </c>
      <c r="P22" s="74">
        <f t="shared" ref="P22:P25" si="10">SUM(M22:O22)</f>
        <v>294597</v>
      </c>
      <c r="R22" s="74">
        <v>134110</v>
      </c>
      <c r="S22" s="74">
        <v>43793</v>
      </c>
      <c r="T22" s="74">
        <v>0</v>
      </c>
      <c r="U22" s="74">
        <f t="shared" ref="U22:U25" si="11">SUM(R22:T22)</f>
        <v>177903</v>
      </c>
    </row>
    <row r="23" spans="2:21" ht="16.5" customHeight="1" thickTop="1" thickBot="1" x14ac:dyDescent="0.25">
      <c r="B23" s="87" t="s">
        <v>193</v>
      </c>
      <c r="C23" s="139">
        <v>218529</v>
      </c>
      <c r="D23" s="139">
        <v>41650</v>
      </c>
      <c r="E23" s="139">
        <v>0</v>
      </c>
      <c r="F23" s="74">
        <f t="shared" si="8"/>
        <v>260179</v>
      </c>
      <c r="G23" s="104"/>
      <c r="H23" s="74">
        <v>71803</v>
      </c>
      <c r="I23" s="74">
        <v>14840</v>
      </c>
      <c r="J23" s="74">
        <v>0</v>
      </c>
      <c r="K23" s="74">
        <f t="shared" si="9"/>
        <v>86643</v>
      </c>
      <c r="L23" s="104"/>
      <c r="M23" s="139">
        <v>84324</v>
      </c>
      <c r="N23" s="139">
        <v>15178</v>
      </c>
      <c r="O23" s="139">
        <v>0</v>
      </c>
      <c r="P23" s="74">
        <f t="shared" si="10"/>
        <v>99502</v>
      </c>
      <c r="R23" s="74">
        <v>62402</v>
      </c>
      <c r="S23" s="74">
        <v>11632</v>
      </c>
      <c r="T23" s="74">
        <v>0</v>
      </c>
      <c r="U23" s="74">
        <f t="shared" si="11"/>
        <v>74034</v>
      </c>
    </row>
    <row r="24" spans="2:21" ht="16.5" hidden="1" customHeight="1" thickTop="1" thickBot="1" x14ac:dyDescent="0.25">
      <c r="B24" s="87" t="s">
        <v>194</v>
      </c>
      <c r="C24" s="139">
        <v>0</v>
      </c>
      <c r="D24" s="139">
        <v>0</v>
      </c>
      <c r="E24" s="139">
        <v>0</v>
      </c>
      <c r="F24" s="74">
        <f t="shared" si="8"/>
        <v>0</v>
      </c>
      <c r="G24" s="104"/>
      <c r="H24" s="74">
        <v>0</v>
      </c>
      <c r="I24" s="74">
        <v>0</v>
      </c>
      <c r="J24" s="74">
        <v>0</v>
      </c>
      <c r="K24" s="74">
        <f t="shared" si="9"/>
        <v>0</v>
      </c>
      <c r="L24" s="104"/>
      <c r="M24" s="139">
        <v>0</v>
      </c>
      <c r="N24" s="139">
        <v>0</v>
      </c>
      <c r="O24" s="139">
        <v>0</v>
      </c>
      <c r="P24" s="74">
        <f t="shared" si="10"/>
        <v>0</v>
      </c>
      <c r="R24" s="74">
        <v>0</v>
      </c>
      <c r="S24" s="74">
        <v>0</v>
      </c>
      <c r="T24" s="74">
        <v>0</v>
      </c>
      <c r="U24" s="74">
        <f t="shared" si="11"/>
        <v>0</v>
      </c>
    </row>
    <row r="25" spans="2:21" ht="16.5" customHeight="1" thickTop="1" thickBot="1" x14ac:dyDescent="0.25">
      <c r="B25" s="87" t="s">
        <v>195</v>
      </c>
      <c r="C25" s="139">
        <v>27995</v>
      </c>
      <c r="D25" s="139">
        <v>7491</v>
      </c>
      <c r="E25" s="139">
        <v>9819</v>
      </c>
      <c r="F25" s="74">
        <f t="shared" si="8"/>
        <v>45305</v>
      </c>
      <c r="G25" s="104"/>
      <c r="H25" s="74">
        <v>9259</v>
      </c>
      <c r="I25" s="74">
        <v>2767</v>
      </c>
      <c r="J25" s="74">
        <v>3445</v>
      </c>
      <c r="K25" s="74">
        <f t="shared" si="9"/>
        <v>15471</v>
      </c>
      <c r="L25" s="104"/>
      <c r="M25" s="139">
        <v>9865</v>
      </c>
      <c r="N25" s="139">
        <v>2660</v>
      </c>
      <c r="O25" s="139">
        <v>3580</v>
      </c>
      <c r="P25" s="74">
        <f t="shared" si="10"/>
        <v>16105</v>
      </c>
      <c r="R25" s="74">
        <v>8871</v>
      </c>
      <c r="S25" s="74">
        <v>2064</v>
      </c>
      <c r="T25" s="74">
        <v>2794</v>
      </c>
      <c r="U25" s="74">
        <f t="shared" si="11"/>
        <v>13729</v>
      </c>
    </row>
    <row r="26" spans="2:21" ht="16.5" customHeight="1" thickTop="1" x14ac:dyDescent="0.2">
      <c r="B26" s="83" t="s">
        <v>196</v>
      </c>
      <c r="C26" s="84">
        <f>SUM(C27:C30)</f>
        <v>805205</v>
      </c>
      <c r="D26" s="84">
        <f>SUM(D27:D30)</f>
        <v>239749</v>
      </c>
      <c r="E26" s="84">
        <f>SUM(E27:E30)</f>
        <v>9819</v>
      </c>
      <c r="F26" s="84">
        <f>SUM(F27:F30)</f>
        <v>1054773</v>
      </c>
      <c r="G26" s="104"/>
      <c r="H26" s="84">
        <f>SUM(H27:H30)</f>
        <v>285267</v>
      </c>
      <c r="I26" s="84">
        <f>SUM(I27:I30)</f>
        <v>90191</v>
      </c>
      <c r="J26" s="84">
        <f>SUM(J27:J30)</f>
        <v>3445</v>
      </c>
      <c r="K26" s="84">
        <f>SUM(K27:K30)</f>
        <v>378903</v>
      </c>
      <c r="L26" s="104"/>
      <c r="M26" s="84">
        <f>SUM(M27:M30)</f>
        <v>314555</v>
      </c>
      <c r="N26" s="84">
        <f>SUM(N27:N30)</f>
        <v>92069</v>
      </c>
      <c r="O26" s="84">
        <f>SUM(O27:O30)</f>
        <v>3580</v>
      </c>
      <c r="P26" s="84">
        <f>SUM(P27:P30)</f>
        <v>410204</v>
      </c>
      <c r="R26" s="84">
        <f>SUM(R27:R30)</f>
        <v>205383</v>
      </c>
      <c r="S26" s="84">
        <f>SUM(S27:S30)</f>
        <v>57489</v>
      </c>
      <c r="T26" s="84">
        <f>SUM(T27:T30)</f>
        <v>2794</v>
      </c>
      <c r="U26" s="84">
        <f>SUM(U27:U30)</f>
        <v>265666</v>
      </c>
    </row>
    <row r="27" spans="2:21" ht="16.5" customHeight="1" thickBot="1" x14ac:dyDescent="0.25">
      <c r="B27" s="87" t="s">
        <v>100</v>
      </c>
      <c r="C27" s="139">
        <v>517225</v>
      </c>
      <c r="D27" s="139">
        <v>138528</v>
      </c>
      <c r="E27" s="139">
        <v>6239</v>
      </c>
      <c r="F27" s="74">
        <f t="shared" ref="F27:F30" si="12">SUM(C27:E27)</f>
        <v>661992</v>
      </c>
      <c r="G27" s="104"/>
      <c r="H27" s="74">
        <v>187182</v>
      </c>
      <c r="I27" s="74">
        <v>49697</v>
      </c>
      <c r="J27" s="74">
        <v>2166</v>
      </c>
      <c r="K27" s="74">
        <f t="shared" ref="K27:K30" si="13">SUM(H27:J27)</f>
        <v>239045</v>
      </c>
      <c r="L27" s="104"/>
      <c r="M27" s="139">
        <v>199185</v>
      </c>
      <c r="N27" s="139">
        <v>52565</v>
      </c>
      <c r="O27" s="139">
        <v>2205</v>
      </c>
      <c r="P27" s="74">
        <f t="shared" ref="P27:P30" si="14">SUM(M27:O27)</f>
        <v>253955</v>
      </c>
      <c r="R27" s="74">
        <v>130858</v>
      </c>
      <c r="S27" s="74">
        <v>36266</v>
      </c>
      <c r="T27" s="74">
        <v>1868</v>
      </c>
      <c r="U27" s="74">
        <f t="shared" ref="U27:U30" si="15">SUM(R27:T27)</f>
        <v>168992</v>
      </c>
    </row>
    <row r="28" spans="2:21" ht="16.5" customHeight="1" thickTop="1" thickBot="1" x14ac:dyDescent="0.25">
      <c r="B28" s="87" t="s">
        <v>101</v>
      </c>
      <c r="C28" s="139">
        <v>188661</v>
      </c>
      <c r="D28" s="139">
        <v>46163</v>
      </c>
      <c r="E28" s="139">
        <v>1480</v>
      </c>
      <c r="F28" s="74">
        <f t="shared" si="12"/>
        <v>236304</v>
      </c>
      <c r="G28" s="104"/>
      <c r="H28" s="74">
        <v>62000</v>
      </c>
      <c r="I28" s="74">
        <v>18757</v>
      </c>
      <c r="J28" s="74">
        <v>520</v>
      </c>
      <c r="K28" s="74">
        <f t="shared" si="13"/>
        <v>81277</v>
      </c>
      <c r="L28" s="104"/>
      <c r="M28" s="139">
        <v>78078</v>
      </c>
      <c r="N28" s="139">
        <v>17363</v>
      </c>
      <c r="O28" s="139">
        <v>559</v>
      </c>
      <c r="P28" s="74">
        <f t="shared" si="14"/>
        <v>96000</v>
      </c>
      <c r="R28" s="74">
        <v>48583</v>
      </c>
      <c r="S28" s="74">
        <v>10043</v>
      </c>
      <c r="T28" s="74">
        <v>401</v>
      </c>
      <c r="U28" s="74">
        <f t="shared" si="15"/>
        <v>59027</v>
      </c>
    </row>
    <row r="29" spans="2:21" ht="16.5" customHeight="1" thickTop="1" thickBot="1" x14ac:dyDescent="0.25">
      <c r="B29" s="87" t="s">
        <v>102</v>
      </c>
      <c r="C29" s="139">
        <v>43389</v>
      </c>
      <c r="D29" s="139">
        <v>47561</v>
      </c>
      <c r="E29" s="139">
        <v>241</v>
      </c>
      <c r="F29" s="74">
        <f t="shared" si="12"/>
        <v>91191</v>
      </c>
      <c r="G29" s="104"/>
      <c r="H29" s="74">
        <v>16189</v>
      </c>
      <c r="I29" s="74">
        <v>18406</v>
      </c>
      <c r="J29" s="74">
        <v>79</v>
      </c>
      <c r="K29" s="74">
        <f t="shared" si="13"/>
        <v>34674</v>
      </c>
      <c r="L29" s="104"/>
      <c r="M29" s="139">
        <v>16541</v>
      </c>
      <c r="N29" s="139">
        <v>19686</v>
      </c>
      <c r="O29" s="139">
        <v>82</v>
      </c>
      <c r="P29" s="74">
        <f t="shared" si="14"/>
        <v>36309</v>
      </c>
      <c r="R29" s="74">
        <v>10659</v>
      </c>
      <c r="S29" s="74">
        <v>9469</v>
      </c>
      <c r="T29" s="74">
        <v>80</v>
      </c>
      <c r="U29" s="74">
        <f t="shared" si="15"/>
        <v>20208</v>
      </c>
    </row>
    <row r="30" spans="2:21" ht="16.5" customHeight="1" thickTop="1" thickBot="1" x14ac:dyDescent="0.25">
      <c r="B30" s="87" t="s">
        <v>103</v>
      </c>
      <c r="C30" s="139">
        <v>55930</v>
      </c>
      <c r="D30" s="139">
        <v>7497</v>
      </c>
      <c r="E30" s="139">
        <v>1859</v>
      </c>
      <c r="F30" s="74">
        <f t="shared" si="12"/>
        <v>65286</v>
      </c>
      <c r="G30" s="104"/>
      <c r="H30" s="74">
        <v>19896</v>
      </c>
      <c r="I30" s="74">
        <v>3331</v>
      </c>
      <c r="J30" s="74">
        <v>680</v>
      </c>
      <c r="K30" s="74">
        <f t="shared" si="13"/>
        <v>23907</v>
      </c>
      <c r="L30" s="104"/>
      <c r="M30" s="139">
        <v>20751</v>
      </c>
      <c r="N30" s="139">
        <v>2455</v>
      </c>
      <c r="O30" s="139">
        <v>734</v>
      </c>
      <c r="P30" s="74">
        <f t="shared" si="14"/>
        <v>23940</v>
      </c>
      <c r="R30" s="74">
        <v>15283</v>
      </c>
      <c r="S30" s="74">
        <v>1711</v>
      </c>
      <c r="T30" s="74">
        <v>445</v>
      </c>
      <c r="U30" s="74">
        <f t="shared" si="15"/>
        <v>17439</v>
      </c>
    </row>
    <row r="31" spans="2:21" ht="12.75" thickTop="1" x14ac:dyDescent="0.2"/>
    <row r="32" spans="2:21" x14ac:dyDescent="0.2"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</row>
    <row r="33" spans="3:6" x14ac:dyDescent="0.2">
      <c r="C33" s="199"/>
      <c r="D33" s="199"/>
      <c r="E33" s="199"/>
      <c r="F33" s="199"/>
    </row>
    <row r="34" spans="3:6" x14ac:dyDescent="0.2">
      <c r="C34" s="199"/>
      <c r="D34" s="199"/>
      <c r="E34" s="199"/>
      <c r="F34" s="199"/>
    </row>
    <row r="35" spans="3:6" x14ac:dyDescent="0.2">
      <c r="C35" s="199"/>
      <c r="D35" s="199"/>
      <c r="E35" s="199"/>
      <c r="F35" s="199"/>
    </row>
    <row r="36" spans="3:6" x14ac:dyDescent="0.2">
      <c r="C36" s="199"/>
      <c r="D36" s="199"/>
      <c r="E36" s="199"/>
      <c r="F36" s="199"/>
    </row>
    <row r="37" spans="3:6" x14ac:dyDescent="0.2">
      <c r="C37" s="199"/>
      <c r="D37" s="199"/>
      <c r="E37" s="199"/>
      <c r="F37" s="199"/>
    </row>
    <row r="38" spans="3:6" x14ac:dyDescent="0.2">
      <c r="C38" s="199"/>
      <c r="D38" s="199"/>
      <c r="E38" s="199"/>
      <c r="F38" s="199"/>
    </row>
    <row r="39" spans="3:6" x14ac:dyDescent="0.2">
      <c r="C39" s="199"/>
      <c r="D39" s="199"/>
      <c r="E39" s="199"/>
      <c r="F39" s="199"/>
    </row>
    <row r="40" spans="3:6" x14ac:dyDescent="0.2">
      <c r="C40" s="199"/>
      <c r="D40" s="199"/>
      <c r="E40" s="199"/>
      <c r="F40" s="199"/>
    </row>
    <row r="41" spans="3:6" x14ac:dyDescent="0.2">
      <c r="C41" s="199"/>
      <c r="D41" s="199"/>
      <c r="E41" s="199"/>
      <c r="F41" s="199"/>
    </row>
    <row r="42" spans="3:6" x14ac:dyDescent="0.2">
      <c r="C42" s="199"/>
      <c r="D42" s="199"/>
      <c r="E42" s="199"/>
      <c r="F42" s="199"/>
    </row>
    <row r="43" spans="3:6" x14ac:dyDescent="0.2">
      <c r="C43" s="199"/>
      <c r="D43" s="199"/>
      <c r="E43" s="199"/>
      <c r="F43" s="199"/>
    </row>
    <row r="48" spans="3:6" x14ac:dyDescent="0.2">
      <c r="C48" s="199"/>
      <c r="D48" s="199"/>
      <c r="E48" s="199"/>
      <c r="F48" s="199"/>
    </row>
    <row r="49" spans="3:6" x14ac:dyDescent="0.2">
      <c r="C49" s="199"/>
      <c r="D49" s="199"/>
      <c r="E49" s="199"/>
      <c r="F49" s="199"/>
    </row>
    <row r="50" spans="3:6" x14ac:dyDescent="0.2">
      <c r="C50" s="199"/>
      <c r="D50" s="199"/>
      <c r="E50" s="199"/>
      <c r="F50" s="199"/>
    </row>
    <row r="51" spans="3:6" x14ac:dyDescent="0.2">
      <c r="C51" s="199"/>
      <c r="D51" s="199"/>
      <c r="E51" s="199"/>
      <c r="F51" s="199"/>
    </row>
    <row r="52" spans="3:6" x14ac:dyDescent="0.2">
      <c r="C52" s="199"/>
      <c r="D52" s="199"/>
      <c r="E52" s="199"/>
      <c r="F52" s="199"/>
    </row>
    <row r="53" spans="3:6" x14ac:dyDescent="0.2">
      <c r="C53" s="199"/>
      <c r="D53" s="199"/>
      <c r="E53" s="199"/>
      <c r="F53" s="199"/>
    </row>
    <row r="54" spans="3:6" x14ac:dyDescent="0.2">
      <c r="C54" s="199"/>
      <c r="D54" s="199"/>
      <c r="E54" s="199"/>
      <c r="F54" s="199"/>
    </row>
    <row r="55" spans="3:6" x14ac:dyDescent="0.2">
      <c r="C55" s="199"/>
      <c r="D55" s="199"/>
      <c r="E55" s="199"/>
      <c r="F55" s="199"/>
    </row>
    <row r="56" spans="3:6" x14ac:dyDescent="0.2">
      <c r="C56" s="199"/>
      <c r="D56" s="199"/>
      <c r="E56" s="199"/>
      <c r="F56" s="199"/>
    </row>
    <row r="57" spans="3:6" x14ac:dyDescent="0.2">
      <c r="C57" s="199"/>
      <c r="D57" s="199"/>
      <c r="E57" s="199"/>
      <c r="F57" s="199"/>
    </row>
  </sheetData>
  <mergeCells count="26">
    <mergeCell ref="H4:I4"/>
    <mergeCell ref="J4:J5"/>
    <mergeCell ref="K4:K5"/>
    <mergeCell ref="H19:I19"/>
    <mergeCell ref="J19:J20"/>
    <mergeCell ref="K19:K20"/>
    <mergeCell ref="B4:B5"/>
    <mergeCell ref="B19:B20"/>
    <mergeCell ref="C4:D4"/>
    <mergeCell ref="E4:E5"/>
    <mergeCell ref="F4:F5"/>
    <mergeCell ref="C19:D19"/>
    <mergeCell ref="E19:E20"/>
    <mergeCell ref="F19:F20"/>
    <mergeCell ref="M4:N4"/>
    <mergeCell ref="O4:O5"/>
    <mergeCell ref="P4:P5"/>
    <mergeCell ref="M19:N19"/>
    <mergeCell ref="O19:O20"/>
    <mergeCell ref="P19:P20"/>
    <mergeCell ref="R4:S4"/>
    <mergeCell ref="T4:T5"/>
    <mergeCell ref="U4:U5"/>
    <mergeCell ref="R19:S19"/>
    <mergeCell ref="T19:T20"/>
    <mergeCell ref="U19:U20"/>
  </mergeCells>
  <hyperlinks>
    <hyperlink ref="A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30"/>
  <sheetViews>
    <sheetView showGridLines="0" zoomScaleNormal="100" zoomScaleSheetLayoutView="100" workbookViewId="0">
      <pane xSplit="2" topLeftCell="C1" activePane="topRight" state="frozen"/>
      <selection activeCell="D12" sqref="D12"/>
      <selection pane="topRight" activeCell="B3" sqref="B3"/>
    </sheetView>
  </sheetViews>
  <sheetFormatPr defaultColWidth="10.875" defaultRowHeight="15" outlineLevelCol="1" x14ac:dyDescent="0.2"/>
  <cols>
    <col min="1" max="1" width="5" style="2" customWidth="1"/>
    <col min="2" max="2" width="48.625" style="5" customWidth="1"/>
    <col min="3" max="5" width="14.875" style="2" customWidth="1"/>
    <col min="6" max="6" width="4.25" style="2" customWidth="1"/>
    <col min="7" max="9" width="14.875" style="2" hidden="1" customWidth="1" outlineLevel="1"/>
    <col min="10" max="10" width="4.25" style="2" hidden="1" customWidth="1" outlineLevel="1"/>
    <col min="11" max="13" width="14.875" style="2" hidden="1" customWidth="1" outlineLevel="1"/>
    <col min="14" max="14" width="3.875" style="2" hidden="1" customWidth="1" outlineLevel="1"/>
    <col min="15" max="17" width="14.875" style="2" hidden="1" customWidth="1" outlineLevel="1"/>
    <col min="18" max="18" width="10.875" style="2" collapsed="1"/>
    <col min="19" max="16384" width="10.875" style="2"/>
  </cols>
  <sheetData>
    <row r="1" spans="1:17" ht="15.75" x14ac:dyDescent="0.25">
      <c r="A1" s="9" t="s">
        <v>8</v>
      </c>
    </row>
    <row r="2" spans="1:17" ht="15.75" x14ac:dyDescent="0.25">
      <c r="A2" s="9"/>
    </row>
    <row r="3" spans="1:17" ht="18.75" thickBot="1" x14ac:dyDescent="0.3">
      <c r="A3" s="9"/>
      <c r="B3" s="112" t="s">
        <v>138</v>
      </c>
    </row>
    <row r="4" spans="1:17" s="28" customFormat="1" ht="22.5" customHeight="1" thickTop="1" thickBot="1" x14ac:dyDescent="0.25">
      <c r="B4" s="225"/>
      <c r="C4" s="174" t="s">
        <v>258</v>
      </c>
      <c r="D4" s="174" t="s">
        <v>257</v>
      </c>
      <c r="E4" s="223" t="s">
        <v>164</v>
      </c>
      <c r="G4" s="187" t="s">
        <v>255</v>
      </c>
      <c r="H4" s="187" t="s">
        <v>256</v>
      </c>
      <c r="I4" s="223" t="s">
        <v>164</v>
      </c>
      <c r="K4" s="174" t="s">
        <v>242</v>
      </c>
      <c r="L4" s="174" t="s">
        <v>243</v>
      </c>
      <c r="M4" s="223" t="s">
        <v>164</v>
      </c>
      <c r="O4" s="144" t="s">
        <v>226</v>
      </c>
      <c r="P4" s="144" t="s">
        <v>185</v>
      </c>
      <c r="Q4" s="223" t="s">
        <v>164</v>
      </c>
    </row>
    <row r="5" spans="1:17" s="28" customFormat="1" ht="22.5" customHeight="1" thickTop="1" thickBot="1" x14ac:dyDescent="0.25">
      <c r="B5" s="226"/>
      <c r="C5" s="208" t="s">
        <v>165</v>
      </c>
      <c r="D5" s="220"/>
      <c r="E5" s="224"/>
      <c r="G5" s="208" t="s">
        <v>165</v>
      </c>
      <c r="H5" s="220"/>
      <c r="I5" s="224"/>
      <c r="K5" s="208" t="s">
        <v>165</v>
      </c>
      <c r="L5" s="220"/>
      <c r="M5" s="224"/>
      <c r="O5" s="208" t="s">
        <v>165</v>
      </c>
      <c r="P5" s="220"/>
      <c r="Q5" s="224"/>
    </row>
    <row r="6" spans="1:17" s="28" customFormat="1" ht="16.5" customHeight="1" thickTop="1" thickBot="1" x14ac:dyDescent="0.25">
      <c r="B6" s="24" t="s">
        <v>32</v>
      </c>
      <c r="C6" s="104">
        <v>1090337</v>
      </c>
      <c r="D6" s="104">
        <v>1054773</v>
      </c>
      <c r="E6" s="50">
        <f>C6/D6-1</f>
        <v>3.3717207399127647E-2</v>
      </c>
      <c r="G6" s="104">
        <v>406285</v>
      </c>
      <c r="H6" s="104">
        <v>378903</v>
      </c>
      <c r="I6" s="50">
        <f>G6/H6-1</f>
        <v>7.2266516760226329E-2</v>
      </c>
      <c r="K6" s="104">
        <v>414579</v>
      </c>
      <c r="L6" s="104">
        <v>410204</v>
      </c>
      <c r="M6" s="50">
        <f>K6/L6-1</f>
        <v>1.0665425008044682E-2</v>
      </c>
      <c r="O6" s="164">
        <v>269473</v>
      </c>
      <c r="P6" s="164">
        <v>265666</v>
      </c>
      <c r="Q6" s="50">
        <f>O6/P6-1</f>
        <v>1.4330023412856718E-2</v>
      </c>
    </row>
    <row r="7" spans="1:17" s="28" customFormat="1" ht="16.5" customHeight="1" thickTop="1" thickBot="1" x14ac:dyDescent="0.25">
      <c r="B7" s="134" t="s">
        <v>167</v>
      </c>
      <c r="C7" s="165">
        <v>1062223</v>
      </c>
      <c r="D7" s="165">
        <v>1011942</v>
      </c>
      <c r="E7" s="135">
        <f>C7/D7-1</f>
        <v>4.9687630318733689E-2</v>
      </c>
      <c r="G7" s="138">
        <v>396117</v>
      </c>
      <c r="H7" s="138">
        <v>376529</v>
      </c>
      <c r="I7" s="135">
        <f>G7/H7-1</f>
        <v>5.2022553375702829E-2</v>
      </c>
      <c r="K7" s="138">
        <v>402846</v>
      </c>
      <c r="L7" s="138">
        <v>389282</v>
      </c>
      <c r="M7" s="135">
        <f>K7/L7-1</f>
        <v>3.484363520532674E-2</v>
      </c>
      <c r="O7" s="165">
        <v>263260</v>
      </c>
      <c r="P7" s="165">
        <v>246131</v>
      </c>
      <c r="Q7" s="135">
        <f>O7/P7-1</f>
        <v>6.9593021602317506E-2</v>
      </c>
    </row>
    <row r="8" spans="1:17" s="28" customFormat="1" ht="16.5" customHeight="1" thickTop="1" thickBot="1" x14ac:dyDescent="0.25">
      <c r="B8" s="25" t="s">
        <v>95</v>
      </c>
      <c r="C8" s="164">
        <v>403793</v>
      </c>
      <c r="D8" s="164">
        <v>383855</v>
      </c>
      <c r="E8" s="50">
        <f t="shared" ref="E8:E9" si="0">C8/D8-1</f>
        <v>5.1941488322413409E-2</v>
      </c>
      <c r="G8" s="104">
        <v>174522</v>
      </c>
      <c r="H8" s="104">
        <v>162492</v>
      </c>
      <c r="I8" s="50">
        <f t="shared" ref="I8:I9" si="1">G8/H8-1</f>
        <v>7.4034414001920013E-2</v>
      </c>
      <c r="K8" s="104">
        <v>175190</v>
      </c>
      <c r="L8" s="104">
        <v>172729</v>
      </c>
      <c r="M8" s="50">
        <f t="shared" ref="M8:M9" si="2">K8/L8-1</f>
        <v>1.4247752259319402E-2</v>
      </c>
      <c r="O8" s="164">
        <v>54081</v>
      </c>
      <c r="P8" s="164">
        <v>48634</v>
      </c>
      <c r="Q8" s="50">
        <f t="shared" ref="Q8:Q9" si="3">O8/P8-1</f>
        <v>0.11199983550602455</v>
      </c>
    </row>
    <row r="9" spans="1:17" s="28" customFormat="1" ht="16.5" customHeight="1" thickTop="1" thickBot="1" x14ac:dyDescent="0.25">
      <c r="B9" s="25" t="s">
        <v>37</v>
      </c>
      <c r="C9" s="164">
        <v>394898</v>
      </c>
      <c r="D9" s="164">
        <v>341574</v>
      </c>
      <c r="E9" s="50">
        <f t="shared" si="0"/>
        <v>0.15611258468150391</v>
      </c>
      <c r="G9" s="104">
        <v>171586</v>
      </c>
      <c r="H9" s="104">
        <v>148493</v>
      </c>
      <c r="I9" s="50">
        <f t="shared" si="1"/>
        <v>0.15551574821708769</v>
      </c>
      <c r="K9" s="104">
        <v>171831</v>
      </c>
      <c r="L9" s="104">
        <v>157768</v>
      </c>
      <c r="M9" s="50">
        <f t="shared" si="2"/>
        <v>8.9137214137214205E-2</v>
      </c>
      <c r="O9" s="164">
        <v>51481</v>
      </c>
      <c r="P9" s="164">
        <v>35313</v>
      </c>
      <c r="Q9" s="50">
        <f t="shared" si="3"/>
        <v>0.45784838444765374</v>
      </c>
    </row>
    <row r="10" spans="1:17" s="28" customFormat="1" ht="16.5" customHeight="1" thickTop="1" thickBot="1" x14ac:dyDescent="0.25">
      <c r="B10" s="27" t="s">
        <v>168</v>
      </c>
      <c r="C10" s="165">
        <v>386899</v>
      </c>
      <c r="D10" s="165">
        <v>331710</v>
      </c>
      <c r="E10" s="135">
        <f>C10/D10-1</f>
        <v>0.16637725724277219</v>
      </c>
      <c r="G10" s="138">
        <v>168140</v>
      </c>
      <c r="H10" s="138">
        <v>148380</v>
      </c>
      <c r="I10" s="135">
        <f>G10/H10-1</f>
        <v>0.13317158646717897</v>
      </c>
      <c r="K10" s="138">
        <v>167612</v>
      </c>
      <c r="L10" s="138">
        <v>151382</v>
      </c>
      <c r="M10" s="135">
        <f>K10/L10-1</f>
        <v>0.10721221809726389</v>
      </c>
      <c r="O10" s="165">
        <v>51147</v>
      </c>
      <c r="P10" s="165">
        <v>31948</v>
      </c>
      <c r="Q10" s="135">
        <f>O10/P10-1</f>
        <v>0.60094528608989606</v>
      </c>
    </row>
    <row r="11" spans="1:17" s="28" customFormat="1" ht="16.5" customHeight="1" thickTop="1" thickBot="1" x14ac:dyDescent="0.25">
      <c r="B11" s="25" t="s">
        <v>136</v>
      </c>
      <c r="C11" s="104">
        <v>230827</v>
      </c>
      <c r="D11" s="104">
        <v>216655</v>
      </c>
      <c r="E11" s="135">
        <f>C11/D11-1</f>
        <v>6.5412752994391976E-2</v>
      </c>
      <c r="G11" s="104">
        <v>116049</v>
      </c>
      <c r="H11" s="104">
        <v>105890</v>
      </c>
      <c r="I11" s="135">
        <f>G11/H11-1</f>
        <v>9.5939182170176496E-2</v>
      </c>
      <c r="K11" s="104">
        <v>116710</v>
      </c>
      <c r="L11" s="104">
        <v>117365</v>
      </c>
      <c r="M11" s="135">
        <f>K11/L11-1</f>
        <v>-5.5808801601839875E-3</v>
      </c>
      <c r="O11" s="164">
        <v>-1932</v>
      </c>
      <c r="P11" s="164">
        <v>-6600</v>
      </c>
      <c r="Q11" s="50">
        <f>-(O11/P11-1)</f>
        <v>0.70727272727272728</v>
      </c>
    </row>
    <row r="12" spans="1:17" s="28" customFormat="1" ht="16.5" customHeight="1" thickTop="1" thickBot="1" x14ac:dyDescent="0.25">
      <c r="B12" s="25" t="s">
        <v>127</v>
      </c>
      <c r="C12" s="104">
        <v>271548</v>
      </c>
      <c r="D12" s="104">
        <v>347132</v>
      </c>
      <c r="E12" s="135">
        <f>C12/D12-1</f>
        <v>-0.21773849717110494</v>
      </c>
      <c r="G12" s="104">
        <v>108079</v>
      </c>
      <c r="H12" s="104">
        <v>106916</v>
      </c>
      <c r="I12" s="135">
        <f>G12/H12-1</f>
        <v>1.0877698380036716E-2</v>
      </c>
      <c r="K12" s="104">
        <v>117844</v>
      </c>
      <c r="L12" s="104">
        <v>246675</v>
      </c>
      <c r="M12" s="135">
        <f>K12/L12-1</f>
        <v>-0.52227019357454141</v>
      </c>
      <c r="O12" s="104">
        <v>45625</v>
      </c>
      <c r="P12" s="104">
        <v>-6459</v>
      </c>
      <c r="Q12" s="163" t="s">
        <v>233</v>
      </c>
    </row>
    <row r="13" spans="1:17" s="28" customFormat="1" ht="16.5" customHeight="1" thickTop="1" thickBot="1" x14ac:dyDescent="0.25">
      <c r="B13" s="27" t="s">
        <v>128</v>
      </c>
      <c r="C13" s="104">
        <v>-36573</v>
      </c>
      <c r="D13" s="104">
        <v>-15177</v>
      </c>
      <c r="E13" s="50">
        <f>-(C13/D13-1)</f>
        <v>-1.409764775647361</v>
      </c>
      <c r="G13" s="104">
        <v>-16857</v>
      </c>
      <c r="H13" s="104">
        <v>-8552</v>
      </c>
      <c r="I13" s="50">
        <f>-(G13/H13-1)</f>
        <v>-0.97111786716557535</v>
      </c>
      <c r="K13" s="104">
        <v>-11192</v>
      </c>
      <c r="L13" s="104">
        <v>-3039</v>
      </c>
      <c r="M13" s="50">
        <f>-(K13/L13-1)</f>
        <v>-2.6827903915761762</v>
      </c>
      <c r="O13" s="104">
        <v>-8524</v>
      </c>
      <c r="P13" s="104">
        <v>-3586</v>
      </c>
      <c r="Q13" s="50">
        <f>-(O13/P13-1)</f>
        <v>-1.3770217512548801</v>
      </c>
    </row>
    <row r="14" spans="1:17" s="28" customFormat="1" ht="16.5" customHeight="1" thickTop="1" thickBot="1" x14ac:dyDescent="0.25">
      <c r="B14" s="25" t="s">
        <v>205</v>
      </c>
      <c r="C14" s="104">
        <v>234975</v>
      </c>
      <c r="D14" s="104">
        <v>331955</v>
      </c>
      <c r="E14" s="135">
        <f>C14/D14-1</f>
        <v>-0.29214803211278639</v>
      </c>
      <c r="G14" s="104">
        <v>91222</v>
      </c>
      <c r="H14" s="104">
        <v>98364</v>
      </c>
      <c r="I14" s="135">
        <f>G14/H14-1</f>
        <v>-7.2607864665934718E-2</v>
      </c>
      <c r="K14" s="104">
        <v>106652</v>
      </c>
      <c r="L14" s="104">
        <v>243636</v>
      </c>
      <c r="M14" s="135">
        <f>K14/L14-1</f>
        <v>-0.5622486003710454</v>
      </c>
      <c r="O14" s="104">
        <v>37101</v>
      </c>
      <c r="P14" s="104">
        <v>-10045</v>
      </c>
      <c r="Q14" s="163" t="s">
        <v>233</v>
      </c>
    </row>
    <row r="15" spans="1:17" s="28" customFormat="1" ht="12.75" thickTop="1" x14ac:dyDescent="0.2">
      <c r="B15" s="23"/>
    </row>
    <row r="17" spans="3:4" x14ac:dyDescent="0.2">
      <c r="C17" s="198"/>
      <c r="D17" s="198"/>
    </row>
    <row r="18" spans="3:4" x14ac:dyDescent="0.2">
      <c r="C18" s="198"/>
      <c r="D18" s="198"/>
    </row>
    <row r="19" spans="3:4" x14ac:dyDescent="0.2">
      <c r="C19" s="198"/>
      <c r="D19" s="198"/>
    </row>
    <row r="20" spans="3:4" x14ac:dyDescent="0.2">
      <c r="C20" s="198"/>
      <c r="D20" s="198"/>
    </row>
    <row r="21" spans="3:4" x14ac:dyDescent="0.2">
      <c r="C21" s="198"/>
      <c r="D21" s="198"/>
    </row>
    <row r="22" spans="3:4" x14ac:dyDescent="0.2">
      <c r="C22" s="198"/>
      <c r="D22" s="198"/>
    </row>
    <row r="23" spans="3:4" x14ac:dyDescent="0.2">
      <c r="C23" s="198"/>
      <c r="D23" s="198"/>
    </row>
    <row r="24" spans="3:4" x14ac:dyDescent="0.2">
      <c r="C24" s="198"/>
      <c r="D24" s="198"/>
    </row>
    <row r="25" spans="3:4" x14ac:dyDescent="0.2">
      <c r="C25" s="198"/>
      <c r="D25" s="198"/>
    </row>
    <row r="26" spans="3:4" x14ac:dyDescent="0.2">
      <c r="C26" s="198"/>
      <c r="D26" s="198"/>
    </row>
    <row r="27" spans="3:4" x14ac:dyDescent="0.2">
      <c r="C27" s="198"/>
      <c r="D27" s="198"/>
    </row>
    <row r="28" spans="3:4" x14ac:dyDescent="0.2">
      <c r="C28" s="198"/>
      <c r="D28" s="198"/>
    </row>
    <row r="29" spans="3:4" x14ac:dyDescent="0.2">
      <c r="C29" s="198"/>
      <c r="D29" s="198"/>
    </row>
    <row r="30" spans="3:4" x14ac:dyDescent="0.2">
      <c r="C30" s="198"/>
      <c r="D30" s="198"/>
    </row>
  </sheetData>
  <mergeCells count="9">
    <mergeCell ref="Q4:Q5"/>
    <mergeCell ref="O5:P5"/>
    <mergeCell ref="B4:B5"/>
    <mergeCell ref="E4:E5"/>
    <mergeCell ref="C5:D5"/>
    <mergeCell ref="M4:M5"/>
    <mergeCell ref="K5:L5"/>
    <mergeCell ref="I4:I5"/>
    <mergeCell ref="G5:H5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Spis treści</vt:lpstr>
      <vt:lpstr>RZiS i spr. z całkowitych doch.</vt:lpstr>
      <vt:lpstr>Spr. z sytuacji finansowej</vt:lpstr>
      <vt:lpstr>Zmiany w kapitale</vt:lpstr>
      <vt:lpstr>Przepływy pieniężne</vt:lpstr>
      <vt:lpstr>Segmenty operacyjne</vt:lpstr>
      <vt:lpstr>Segmenty geograficzne</vt:lpstr>
      <vt:lpstr>Podział przychodów</vt:lpstr>
      <vt:lpstr>RZiS_analityczny</vt:lpstr>
      <vt:lpstr>Wskaźniki operacyjne</vt:lpstr>
      <vt:lpstr>Baza hotelowa</vt:lpstr>
      <vt:lpstr>Klienci</vt:lpstr>
      <vt:lpstr>Zatrudnienie</vt:lpstr>
      <vt:lpstr>Struktura Grupy</vt:lpstr>
      <vt:lpstr>Akcjonariat</vt:lpstr>
      <vt:lpstr>Akcjonariat!_Toc293035359</vt:lpstr>
      <vt:lpstr>'Baza hotelowa'!_Toc293035359</vt:lpstr>
      <vt:lpstr>Klienci!_Toc293035359</vt:lpstr>
      <vt:lpstr>'Przepływy pieniężne'!_Toc293035359</vt:lpstr>
      <vt:lpstr>RZiS_analityczny!_Toc293035359</vt:lpstr>
      <vt:lpstr>'Segmenty operacyjne'!_Toc293035359</vt:lpstr>
      <vt:lpstr>'Struktura Grupy'!_Toc293035359</vt:lpstr>
      <vt:lpstr>'Wskaźniki operacyjne'!_Toc293035359</vt:lpstr>
      <vt:lpstr>Zatrudnienie!_Toc293035359</vt:lpstr>
      <vt:lpstr>'Przepływy pieniężne'!Print_Area</vt:lpstr>
      <vt:lpstr>'RZiS i spr. z całkowitych doch.'!Print_Area</vt:lpstr>
      <vt:lpstr>RZiS_analityczny!Print_Area</vt:lpstr>
      <vt:lpstr>'Spr. z sytuacji finansowej'!Print_Area</vt:lpstr>
      <vt:lpstr>'Wskaźniki operacyjne'!Print_Area</vt:lpstr>
      <vt:lpstr>Skonsolidowany_rachunek_zysków_i_strat_w_ujęciu_analitycznym</vt:lpstr>
    </vt:vector>
  </TitlesOfParts>
  <Manager/>
  <Company>NOBILI PARTNERS Sp. z o.o.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RUTKOWSKA Magdalena</dc:creator>
  <cp:keywords/>
  <dc:description/>
  <cp:lastModifiedBy>LESNICZEK Olga</cp:lastModifiedBy>
  <cp:lastPrinted>2019-10-30T08:59:32Z</cp:lastPrinted>
  <dcterms:created xsi:type="dcterms:W3CDTF">2014-05-05T23:42:10Z</dcterms:created>
  <dcterms:modified xsi:type="dcterms:W3CDTF">2019-10-30T10:35:56Z</dcterms:modified>
  <cp:category/>
</cp:coreProperties>
</file>